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m.vaiksnoras\Desktop\Biudžetas 2025\"/>
    </mc:Choice>
  </mc:AlternateContent>
  <xr:revisionPtr revIDLastSave="0" documentId="13_ncr:1_{381E7D8B-0C83-49B5-8E7F-F40162570820}" xr6:coauthVersionLast="47" xr6:coauthVersionMax="47" xr10:uidLastSave="{00000000-0000-0000-0000-000000000000}"/>
  <bookViews>
    <workbookView xWindow="-120" yWindow="-120" windowWidth="29040" windowHeight="15840" activeTab="1" xr2:uid="{00000000-000D-0000-FFFF-FFFF00000000}"/>
  </bookViews>
  <sheets>
    <sheet name="Pajamos 2025-2027" sheetId="1" r:id="rId1"/>
    <sheet name="2025-2027 asignavimai iš viso" sheetId="2" r:id="rId2"/>
    <sheet name="31 pr.2025" sheetId="4" r:id="rId3"/>
    <sheet name="32 pr.2025" sheetId="5" r:id="rId4"/>
    <sheet name="33 pr.2025" sheetId="6" r:id="rId5"/>
  </sheets>
  <externalReferences>
    <externalReference r:id="rId6"/>
  </externalReferences>
  <definedNames>
    <definedName name="_Hlk531769037" localSheetId="2">'31 pr.2025'!#REF!</definedName>
    <definedName name="_xlchart.v1.0" hidden="1">'2025-2027 asignavimai iš viso'!$C$5</definedName>
    <definedName name="_xlchart.v1.1" hidden="1">'2025-2027 asignavimai iš viso'!$C$6</definedName>
    <definedName name="_xlchart.v1.10" hidden="1">'2025-2027 asignavimai iš viso'!$D$4:$F$4</definedName>
    <definedName name="_xlchart.v1.11" hidden="1">'2025-2027 asignavimai iš viso'!$D$5:$F$5</definedName>
    <definedName name="_xlchart.v1.12" hidden="1">'2025-2027 asignavimai iš viso'!$D$6:$F$6</definedName>
    <definedName name="_xlchart.v1.13" hidden="1">'2025-2027 asignavimai iš viso'!$D$7:$F$7</definedName>
    <definedName name="_xlchart.v1.14" hidden="1">'2025-2027 asignavimai iš viso'!$C$5</definedName>
    <definedName name="_xlchart.v1.15" hidden="1">'2025-2027 asignavimai iš viso'!$C$6</definedName>
    <definedName name="_xlchart.v1.16" hidden="1">'2025-2027 asignavimai iš viso'!$C$7</definedName>
    <definedName name="_xlchart.v1.17" hidden="1">'2025-2027 asignavimai iš viso'!$D$4:$F$4</definedName>
    <definedName name="_xlchart.v1.18" hidden="1">'2025-2027 asignavimai iš viso'!$D$5:$F$5</definedName>
    <definedName name="_xlchart.v1.19" hidden="1">'2025-2027 asignavimai iš viso'!$D$6:$F$6</definedName>
    <definedName name="_xlchart.v1.2" hidden="1">'2025-2027 asignavimai iš viso'!$C$7</definedName>
    <definedName name="_xlchart.v1.20" hidden="1">'2025-2027 asignavimai iš viso'!$D$7:$F$7</definedName>
    <definedName name="_xlchart.v1.21" hidden="1">'2025-2027 asignavimai iš viso'!$C$5</definedName>
    <definedName name="_xlchart.v1.22" hidden="1">'2025-2027 asignavimai iš viso'!$C$6</definedName>
    <definedName name="_xlchart.v1.23" hidden="1">'2025-2027 asignavimai iš viso'!$C$7</definedName>
    <definedName name="_xlchart.v1.24" hidden="1">'2025-2027 asignavimai iš viso'!$D$4:$F$4</definedName>
    <definedName name="_xlchart.v1.25" hidden="1">'2025-2027 asignavimai iš viso'!$D$5:$F$5</definedName>
    <definedName name="_xlchart.v1.26" hidden="1">'2025-2027 asignavimai iš viso'!$D$6:$F$6</definedName>
    <definedName name="_xlchart.v1.27" hidden="1">'2025-2027 asignavimai iš viso'!$D$7:$F$7</definedName>
    <definedName name="_xlchart.v1.3" hidden="1">'2025-2027 asignavimai iš viso'!$D$4:$F$4</definedName>
    <definedName name="_xlchart.v1.4" hidden="1">'2025-2027 asignavimai iš viso'!$D$5:$F$5</definedName>
    <definedName name="_xlchart.v1.5" hidden="1">'2025-2027 asignavimai iš viso'!$D$6:$F$6</definedName>
    <definedName name="_xlchart.v1.6" hidden="1">'2025-2027 asignavimai iš viso'!$D$7:$F$7</definedName>
    <definedName name="_xlchart.v1.7" hidden="1">'2025-2027 asignavimai iš viso'!$C$5</definedName>
    <definedName name="_xlchart.v1.8" hidden="1">'2025-2027 asignavimai iš viso'!$C$6</definedName>
    <definedName name="_xlchart.v1.9" hidden="1">'2025-2027 asignavimai iš viso'!$C$7</definedName>
    <definedName name="_xlnm.Print_Area" localSheetId="2">'31 pr.2025'!$A$1:$AF$107</definedName>
    <definedName name="_xlnm.Print_Area" localSheetId="3">'32 pr.2025'!$A$1:$Z$98</definedName>
    <definedName name="_xlnm.Print_Area" localSheetId="4">'33 pr.2025'!$A$1:$AA$101</definedName>
    <definedName name="_xlnm.Print_Titles" localSheetId="2">'31 pr.2025'!$4:$6</definedName>
    <definedName name="_xlnm.Print_Titles" localSheetId="3">'32 pr.2025'!$4:$6</definedName>
    <definedName name="_xlnm.Print_Titles" localSheetId="4">'33 pr.2025'!$4:$6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2" l="1"/>
  <c r="F8" i="2"/>
  <c r="B93" i="1" l="1"/>
  <c r="B89" i="1"/>
  <c r="B88" i="1"/>
  <c r="B85" i="1"/>
  <c r="B102" i="1"/>
  <c r="B82" i="1"/>
  <c r="B103" i="1"/>
  <c r="C80" i="1"/>
  <c r="D80" i="1"/>
  <c r="C23" i="1"/>
  <c r="D23" i="1"/>
  <c r="C111" i="1"/>
  <c r="D111" i="1"/>
  <c r="C93" i="1"/>
  <c r="D93" i="1"/>
  <c r="C89" i="1"/>
  <c r="D89" i="1"/>
  <c r="C85" i="1"/>
  <c r="D85" i="1"/>
  <c r="C29" i="1"/>
  <c r="D29" i="1"/>
  <c r="D25" i="1" s="1"/>
  <c r="C19" i="1"/>
  <c r="C103" i="1" s="1"/>
  <c r="D19" i="1"/>
  <c r="D103" i="1" s="1"/>
  <c r="C6" i="1"/>
  <c r="D6" i="1"/>
  <c r="X9" i="4"/>
  <c r="Y9" i="4"/>
  <c r="X30" i="4"/>
  <c r="Y30" i="4"/>
  <c r="X49" i="4"/>
  <c r="X48" i="4" s="1"/>
  <c r="Y49" i="4"/>
  <c r="Y48" i="4" s="1"/>
  <c r="X65" i="4"/>
  <c r="Y65" i="4"/>
  <c r="N10" i="4"/>
  <c r="U10" i="4"/>
  <c r="Z10" i="4" s="1"/>
  <c r="AD10" i="4" s="1"/>
  <c r="U101" i="6"/>
  <c r="M101" i="6"/>
  <c r="U100" i="6"/>
  <c r="Z100" i="6" s="1"/>
  <c r="N100" i="6"/>
  <c r="U99" i="6"/>
  <c r="M99" i="6"/>
  <c r="U98" i="6"/>
  <c r="Z98" i="6" s="1"/>
  <c r="N98" i="6"/>
  <c r="U97" i="6"/>
  <c r="M97" i="6"/>
  <c r="U96" i="6"/>
  <c r="Z96" i="6" s="1"/>
  <c r="N96" i="6"/>
  <c r="U95" i="6"/>
  <c r="Z95" i="6" s="1"/>
  <c r="N95" i="6"/>
  <c r="AA94" i="6"/>
  <c r="Y94" i="6"/>
  <c r="X94" i="6"/>
  <c r="W94" i="6"/>
  <c r="V94" i="6"/>
  <c r="T94" i="6"/>
  <c r="S94" i="6"/>
  <c r="R94" i="6"/>
  <c r="Q94" i="6"/>
  <c r="P94" i="6"/>
  <c r="O94" i="6"/>
  <c r="L94" i="6"/>
  <c r="J94" i="6"/>
  <c r="I94" i="6"/>
  <c r="H94" i="6"/>
  <c r="G94" i="6"/>
  <c r="F94" i="6"/>
  <c r="E94" i="6"/>
  <c r="D94" i="6"/>
  <c r="C94" i="6"/>
  <c r="U93" i="6"/>
  <c r="M93" i="6"/>
  <c r="N93" i="6" s="1"/>
  <c r="U92" i="6"/>
  <c r="M92" i="6"/>
  <c r="N92" i="6" s="1"/>
  <c r="U91" i="6"/>
  <c r="Z91" i="6" s="1"/>
  <c r="N91" i="6"/>
  <c r="U90" i="6"/>
  <c r="Z90" i="6" s="1"/>
  <c r="N90" i="6"/>
  <c r="U89" i="6"/>
  <c r="Z89" i="6" s="1"/>
  <c r="N89" i="6"/>
  <c r="U88" i="6"/>
  <c r="Z88" i="6" s="1"/>
  <c r="N88" i="6"/>
  <c r="U87" i="6"/>
  <c r="Z87" i="6" s="1"/>
  <c r="N87" i="6"/>
  <c r="U86" i="6"/>
  <c r="Z86" i="6" s="1"/>
  <c r="N86" i="6"/>
  <c r="U85" i="6"/>
  <c r="M85" i="6"/>
  <c r="U84" i="6"/>
  <c r="Z84" i="6" s="1"/>
  <c r="N84" i="6"/>
  <c r="AA83" i="6"/>
  <c r="AA82" i="6" s="1"/>
  <c r="Y83" i="6"/>
  <c r="X83" i="6"/>
  <c r="W83" i="6"/>
  <c r="V83" i="6"/>
  <c r="T83" i="6"/>
  <c r="S83" i="6"/>
  <c r="R83" i="6"/>
  <c r="R82" i="6" s="1"/>
  <c r="Q83" i="6"/>
  <c r="P83" i="6"/>
  <c r="O83" i="6"/>
  <c r="L83" i="6"/>
  <c r="J83" i="6"/>
  <c r="I83" i="6"/>
  <c r="H83" i="6"/>
  <c r="G83" i="6"/>
  <c r="F83" i="6"/>
  <c r="E83" i="6"/>
  <c r="E82" i="6" s="1"/>
  <c r="D83" i="6"/>
  <c r="D82" i="6" s="1"/>
  <c r="C83" i="6"/>
  <c r="U81" i="6"/>
  <c r="Z81" i="6" s="1"/>
  <c r="N81" i="6"/>
  <c r="U80" i="6"/>
  <c r="Z80" i="6" s="1"/>
  <c r="N80" i="6"/>
  <c r="U79" i="6"/>
  <c r="Z79" i="6" s="1"/>
  <c r="N79" i="6"/>
  <c r="W77" i="6"/>
  <c r="W75" i="6" s="1"/>
  <c r="U77" i="6"/>
  <c r="AA75" i="6"/>
  <c r="Y75" i="6"/>
  <c r="X75" i="6"/>
  <c r="V75" i="6"/>
  <c r="T75" i="6"/>
  <c r="S75" i="6"/>
  <c r="R75" i="6"/>
  <c r="Q75" i="6"/>
  <c r="P75" i="6"/>
  <c r="O75" i="6"/>
  <c r="M75" i="6"/>
  <c r="L75" i="6"/>
  <c r="J75" i="6"/>
  <c r="I75" i="6"/>
  <c r="H75" i="6"/>
  <c r="G75" i="6"/>
  <c r="F75" i="6"/>
  <c r="E75" i="6"/>
  <c r="D75" i="6"/>
  <c r="C75" i="6"/>
  <c r="U74" i="6"/>
  <c r="Z74" i="6" s="1"/>
  <c r="U73" i="6"/>
  <c r="Z73" i="6" s="1"/>
  <c r="N73" i="6"/>
  <c r="U72" i="6"/>
  <c r="M72" i="6"/>
  <c r="U71" i="6"/>
  <c r="Z71" i="6" s="1"/>
  <c r="N71" i="6"/>
  <c r="U70" i="6"/>
  <c r="Z70" i="6" s="1"/>
  <c r="N70" i="6"/>
  <c r="U69" i="6"/>
  <c r="Z69" i="6" s="1"/>
  <c r="N69" i="6"/>
  <c r="U68" i="6"/>
  <c r="Z68" i="6" s="1"/>
  <c r="N68" i="6"/>
  <c r="U67" i="6"/>
  <c r="Z67" i="6" s="1"/>
  <c r="N67" i="6"/>
  <c r="U66" i="6"/>
  <c r="M66" i="6"/>
  <c r="M65" i="6" s="1"/>
  <c r="AA65" i="6"/>
  <c r="Y65" i="6"/>
  <c r="X65" i="6"/>
  <c r="W65" i="6"/>
  <c r="V65" i="6"/>
  <c r="T65" i="6"/>
  <c r="S65" i="6"/>
  <c r="R65" i="6"/>
  <c r="Q65" i="6"/>
  <c r="P65" i="6"/>
  <c r="O65" i="6"/>
  <c r="L65" i="6"/>
  <c r="J65" i="6"/>
  <c r="I65" i="6"/>
  <c r="H65" i="6"/>
  <c r="G65" i="6"/>
  <c r="F65" i="6"/>
  <c r="E65" i="6"/>
  <c r="D65" i="6"/>
  <c r="C65" i="6"/>
  <c r="U64" i="6"/>
  <c r="Z64" i="6" s="1"/>
  <c r="N64" i="6"/>
  <c r="T63" i="6"/>
  <c r="U63" i="6" s="1"/>
  <c r="Z63" i="6" s="1"/>
  <c r="N63" i="6"/>
  <c r="Z62" i="6"/>
  <c r="U62" i="6"/>
  <c r="N62" i="6"/>
  <c r="T61" i="6"/>
  <c r="N61" i="6"/>
  <c r="U60" i="6"/>
  <c r="Z60" i="6" s="1"/>
  <c r="N60" i="6"/>
  <c r="U59" i="6"/>
  <c r="Z59" i="6" s="1"/>
  <c r="T59" i="6"/>
  <c r="N59" i="6"/>
  <c r="S58" i="6"/>
  <c r="S34" i="6" s="1"/>
  <c r="N58" i="6"/>
  <c r="U57" i="6"/>
  <c r="Z57" i="6" s="1"/>
  <c r="N57" i="6"/>
  <c r="U56" i="6"/>
  <c r="Z56" i="6" s="1"/>
  <c r="N56" i="6"/>
  <c r="U55" i="6"/>
  <c r="Z55" i="6" s="1"/>
  <c r="N55" i="6"/>
  <c r="U54" i="6"/>
  <c r="M54" i="6"/>
  <c r="U53" i="6"/>
  <c r="M53" i="6"/>
  <c r="N53" i="6" s="1"/>
  <c r="U52" i="6"/>
  <c r="M52" i="6"/>
  <c r="U51" i="6"/>
  <c r="M51" i="6"/>
  <c r="U50" i="6"/>
  <c r="M50" i="6"/>
  <c r="N50" i="6" s="1"/>
  <c r="U49" i="6"/>
  <c r="O49" i="6"/>
  <c r="M49" i="6"/>
  <c r="Q48" i="6"/>
  <c r="U48" i="6" s="1"/>
  <c r="M48" i="6"/>
  <c r="U47" i="6"/>
  <c r="M47" i="6"/>
  <c r="U46" i="6"/>
  <c r="M46" i="6"/>
  <c r="U45" i="6"/>
  <c r="Z45" i="6" s="1"/>
  <c r="N45" i="6"/>
  <c r="U44" i="6"/>
  <c r="M44" i="6"/>
  <c r="N44" i="6" s="1"/>
  <c r="U43" i="6"/>
  <c r="O43" i="6"/>
  <c r="M43" i="6"/>
  <c r="N43" i="6" s="1"/>
  <c r="U42" i="6"/>
  <c r="Z42" i="6" s="1"/>
  <c r="N42" i="6"/>
  <c r="U41" i="6"/>
  <c r="Z41" i="6" s="1"/>
  <c r="N41" i="6"/>
  <c r="U40" i="6"/>
  <c r="M40" i="6"/>
  <c r="N40" i="6" s="1"/>
  <c r="U39" i="6"/>
  <c r="M39" i="6"/>
  <c r="N39" i="6" s="1"/>
  <c r="U38" i="6"/>
  <c r="M38" i="6"/>
  <c r="U37" i="6"/>
  <c r="Z37" i="6" s="1"/>
  <c r="N37" i="6"/>
  <c r="U36" i="6"/>
  <c r="Z36" i="6" s="1"/>
  <c r="N36" i="6"/>
  <c r="U35" i="6"/>
  <c r="M35" i="6"/>
  <c r="N35" i="6" s="1"/>
  <c r="AA34" i="6"/>
  <c r="Y34" i="6"/>
  <c r="Y33" i="6" s="1"/>
  <c r="X34" i="6"/>
  <c r="W34" i="6"/>
  <c r="V34" i="6"/>
  <c r="R34" i="6"/>
  <c r="P34" i="6"/>
  <c r="L34" i="6"/>
  <c r="J34" i="6"/>
  <c r="I34" i="6"/>
  <c r="H34" i="6"/>
  <c r="G34" i="6"/>
  <c r="F34" i="6"/>
  <c r="E34" i="6"/>
  <c r="D34" i="6"/>
  <c r="C34" i="6"/>
  <c r="U32" i="6"/>
  <c r="M32" i="6"/>
  <c r="U31" i="6"/>
  <c r="M31" i="6"/>
  <c r="U30" i="6"/>
  <c r="M30" i="6"/>
  <c r="N30" i="6" s="1"/>
  <c r="U29" i="6"/>
  <c r="M29" i="6"/>
  <c r="N29" i="6" s="1"/>
  <c r="U28" i="6"/>
  <c r="M28" i="6"/>
  <c r="U27" i="6"/>
  <c r="M27" i="6"/>
  <c r="U26" i="6"/>
  <c r="N26" i="6"/>
  <c r="M26" i="6"/>
  <c r="AA25" i="6"/>
  <c r="Y25" i="6"/>
  <c r="X25" i="6"/>
  <c r="W25" i="6"/>
  <c r="V25" i="6"/>
  <c r="T25" i="6"/>
  <c r="S25" i="6"/>
  <c r="R25" i="6"/>
  <c r="Q25" i="6"/>
  <c r="P25" i="6"/>
  <c r="O25" i="6"/>
  <c r="L25" i="6"/>
  <c r="J25" i="6"/>
  <c r="I25" i="6"/>
  <c r="H25" i="6"/>
  <c r="G25" i="6"/>
  <c r="F25" i="6"/>
  <c r="E25" i="6"/>
  <c r="D25" i="6"/>
  <c r="C25" i="6"/>
  <c r="U24" i="6"/>
  <c r="M24" i="6"/>
  <c r="Z23" i="6"/>
  <c r="U23" i="6"/>
  <c r="N23" i="6"/>
  <c r="AA22" i="6"/>
  <c r="Y22" i="6"/>
  <c r="X22" i="6"/>
  <c r="W22" i="6"/>
  <c r="V22" i="6"/>
  <c r="T22" i="6"/>
  <c r="S22" i="6"/>
  <c r="R22" i="6"/>
  <c r="Q22" i="6"/>
  <c r="P22" i="6"/>
  <c r="O22" i="6"/>
  <c r="L22" i="6"/>
  <c r="J22" i="6"/>
  <c r="I22" i="6"/>
  <c r="H22" i="6"/>
  <c r="G22" i="6"/>
  <c r="F22" i="6"/>
  <c r="E22" i="6"/>
  <c r="D22" i="6"/>
  <c r="C22" i="6"/>
  <c r="U21" i="6"/>
  <c r="Z21" i="6" s="1"/>
  <c r="N21" i="6"/>
  <c r="U20" i="6"/>
  <c r="Z20" i="6" s="1"/>
  <c r="N20" i="6"/>
  <c r="U19" i="6"/>
  <c r="Z19" i="6" s="1"/>
  <c r="N19" i="6"/>
  <c r="U18" i="6"/>
  <c r="Z18" i="6" s="1"/>
  <c r="N18" i="6"/>
  <c r="U17" i="6"/>
  <c r="Z17" i="6" s="1"/>
  <c r="N17" i="6"/>
  <c r="U16" i="6"/>
  <c r="Z16" i="6" s="1"/>
  <c r="N16" i="6"/>
  <c r="U15" i="6"/>
  <c r="Z15" i="6" s="1"/>
  <c r="N15" i="6"/>
  <c r="U14" i="6"/>
  <c r="Z14" i="6" s="1"/>
  <c r="N14" i="6"/>
  <c r="U13" i="6"/>
  <c r="Z13" i="6" s="1"/>
  <c r="N13" i="6"/>
  <c r="U12" i="6"/>
  <c r="O12" i="6"/>
  <c r="Z12" i="6" s="1"/>
  <c r="N12" i="6"/>
  <c r="U11" i="6"/>
  <c r="O11" i="6"/>
  <c r="N11" i="6"/>
  <c r="U10" i="6"/>
  <c r="O10" i="6"/>
  <c r="N10" i="6"/>
  <c r="AA9" i="6"/>
  <c r="Y9" i="6"/>
  <c r="X9" i="6"/>
  <c r="W9" i="6"/>
  <c r="V9" i="6"/>
  <c r="T9" i="6"/>
  <c r="S9" i="6"/>
  <c r="R9" i="6"/>
  <c r="Q9" i="6"/>
  <c r="P9" i="6"/>
  <c r="P8" i="6" s="1"/>
  <c r="M9" i="6"/>
  <c r="L9" i="6"/>
  <c r="J9" i="6"/>
  <c r="I9" i="6"/>
  <c r="H9" i="6"/>
  <c r="G9" i="6"/>
  <c r="F9" i="6"/>
  <c r="E9" i="6"/>
  <c r="D9" i="6"/>
  <c r="C9" i="6"/>
  <c r="M2" i="6"/>
  <c r="T97" i="5"/>
  <c r="U97" i="5" s="1"/>
  <c r="M97" i="5"/>
  <c r="T96" i="5"/>
  <c r="U96" i="5" s="1"/>
  <c r="M96" i="5"/>
  <c r="U95" i="5"/>
  <c r="M95" i="5"/>
  <c r="U94" i="5"/>
  <c r="M94" i="5"/>
  <c r="N94" i="5" s="1"/>
  <c r="U93" i="5"/>
  <c r="Z93" i="5" s="1"/>
  <c r="P93" i="5"/>
  <c r="N93" i="5"/>
  <c r="U92" i="5"/>
  <c r="Z92" i="5" s="1"/>
  <c r="P92" i="5"/>
  <c r="N92" i="5"/>
  <c r="U91" i="5"/>
  <c r="Z91" i="5" s="1"/>
  <c r="P91" i="5"/>
  <c r="N91" i="5"/>
  <c r="U90" i="5"/>
  <c r="M90" i="5"/>
  <c r="U89" i="5"/>
  <c r="O89" i="5"/>
  <c r="O80" i="5" s="1"/>
  <c r="O79" i="5" s="1"/>
  <c r="M89" i="5"/>
  <c r="N89" i="5" s="1"/>
  <c r="U88" i="5"/>
  <c r="Z88" i="5" s="1"/>
  <c r="N88" i="5"/>
  <c r="W87" i="5"/>
  <c r="W80" i="5" s="1"/>
  <c r="W79" i="5" s="1"/>
  <c r="U87" i="5"/>
  <c r="N87" i="5"/>
  <c r="U86" i="5"/>
  <c r="Z86" i="5" s="1"/>
  <c r="N86" i="5"/>
  <c r="U85" i="5"/>
  <c r="Z85" i="5" s="1"/>
  <c r="P85" i="5"/>
  <c r="N85" i="5"/>
  <c r="U84" i="5"/>
  <c r="P84" i="5"/>
  <c r="N84" i="5"/>
  <c r="U83" i="5"/>
  <c r="M83" i="5"/>
  <c r="U82" i="5"/>
  <c r="M82" i="5"/>
  <c r="U81" i="5"/>
  <c r="M81" i="5"/>
  <c r="N81" i="5" s="1"/>
  <c r="Y80" i="5"/>
  <c r="Y79" i="5" s="1"/>
  <c r="X80" i="5"/>
  <c r="X79" i="5" s="1"/>
  <c r="V80" i="5"/>
  <c r="S80" i="5"/>
  <c r="S79" i="5" s="1"/>
  <c r="R80" i="5"/>
  <c r="R79" i="5" s="1"/>
  <c r="Q80" i="5"/>
  <c r="Q79" i="5" s="1"/>
  <c r="L80" i="5"/>
  <c r="L79" i="5" s="1"/>
  <c r="J80" i="5"/>
  <c r="J79" i="5" s="1"/>
  <c r="I80" i="5"/>
  <c r="I79" i="5" s="1"/>
  <c r="H80" i="5"/>
  <c r="H79" i="5" s="1"/>
  <c r="G80" i="5"/>
  <c r="G79" i="5" s="1"/>
  <c r="F80" i="5"/>
  <c r="F79" i="5" s="1"/>
  <c r="E80" i="5"/>
  <c r="E79" i="5" s="1"/>
  <c r="D80" i="5"/>
  <c r="D79" i="5" s="1"/>
  <c r="C80" i="5"/>
  <c r="C79" i="5" s="1"/>
  <c r="V79" i="5"/>
  <c r="U78" i="5"/>
  <c r="Z78" i="5" s="1"/>
  <c r="N78" i="5"/>
  <c r="U77" i="5"/>
  <c r="Z77" i="5" s="1"/>
  <c r="N77" i="5"/>
  <c r="U76" i="5"/>
  <c r="M76" i="5"/>
  <c r="N76" i="5" s="1"/>
  <c r="U75" i="5"/>
  <c r="Z75" i="5" s="1"/>
  <c r="N75" i="5"/>
  <c r="U74" i="5"/>
  <c r="Z74" i="5" s="1"/>
  <c r="N74" i="5"/>
  <c r="U73" i="5"/>
  <c r="M73" i="5"/>
  <c r="N73" i="5" s="1"/>
  <c r="U72" i="5"/>
  <c r="M72" i="5"/>
  <c r="N72" i="5" s="1"/>
  <c r="Y71" i="5"/>
  <c r="X71" i="5"/>
  <c r="W71" i="5"/>
  <c r="V71" i="5"/>
  <c r="T71" i="5"/>
  <c r="S71" i="5"/>
  <c r="R71" i="5"/>
  <c r="Q71" i="5"/>
  <c r="P71" i="5"/>
  <c r="O71" i="5"/>
  <c r="L71" i="5"/>
  <c r="J71" i="5"/>
  <c r="I71" i="5"/>
  <c r="H71" i="5"/>
  <c r="G71" i="5"/>
  <c r="F71" i="5"/>
  <c r="E71" i="5"/>
  <c r="D71" i="5"/>
  <c r="C71" i="5"/>
  <c r="U70" i="5"/>
  <c r="M70" i="5"/>
  <c r="T69" i="5"/>
  <c r="U69" i="5" s="1"/>
  <c r="M69" i="5"/>
  <c r="N69" i="5" s="1"/>
  <c r="U68" i="5"/>
  <c r="Z68" i="5" s="1"/>
  <c r="N68" i="5"/>
  <c r="T67" i="5"/>
  <c r="U67" i="5" s="1"/>
  <c r="Z67" i="5" s="1"/>
  <c r="N67" i="5"/>
  <c r="U66" i="5"/>
  <c r="Z66" i="5" s="1"/>
  <c r="N66" i="5"/>
  <c r="U65" i="5"/>
  <c r="Z65" i="5" s="1"/>
  <c r="N65" i="5"/>
  <c r="U64" i="5"/>
  <c r="Z64" i="5" s="1"/>
  <c r="N64" i="5"/>
  <c r="U63" i="5"/>
  <c r="Z63" i="5" s="1"/>
  <c r="N63" i="5"/>
  <c r="U62" i="5"/>
  <c r="Z62" i="5" s="1"/>
  <c r="N62" i="5"/>
  <c r="U61" i="5"/>
  <c r="Z61" i="5" s="1"/>
  <c r="N61" i="5"/>
  <c r="U60" i="5"/>
  <c r="Z60" i="5" s="1"/>
  <c r="N60" i="5"/>
  <c r="U59" i="5"/>
  <c r="Z59" i="5" s="1"/>
  <c r="N59" i="5"/>
  <c r="U58" i="5"/>
  <c r="Z58" i="5" s="1"/>
  <c r="N58" i="5"/>
  <c r="U57" i="5"/>
  <c r="Z57" i="5" s="1"/>
  <c r="N57" i="5"/>
  <c r="U56" i="5"/>
  <c r="Z56" i="5" s="1"/>
  <c r="N56" i="5"/>
  <c r="U55" i="5"/>
  <c r="Z55" i="5" s="1"/>
  <c r="N55" i="5"/>
  <c r="U54" i="5"/>
  <c r="Z54" i="5" s="1"/>
  <c r="N54" i="5"/>
  <c r="U53" i="5"/>
  <c r="Z53" i="5" s="1"/>
  <c r="N53" i="5"/>
  <c r="U52" i="5"/>
  <c r="Z52" i="5" s="1"/>
  <c r="N52" i="5"/>
  <c r="Y51" i="5"/>
  <c r="X51" i="5"/>
  <c r="W51" i="5"/>
  <c r="V51" i="5"/>
  <c r="S51" i="5"/>
  <c r="R51" i="5"/>
  <c r="Q51" i="5"/>
  <c r="P51" i="5"/>
  <c r="O51" i="5"/>
  <c r="L51" i="5"/>
  <c r="J51" i="5"/>
  <c r="I51" i="5"/>
  <c r="H51" i="5"/>
  <c r="G51" i="5"/>
  <c r="F51" i="5"/>
  <c r="E51" i="5"/>
  <c r="D51" i="5"/>
  <c r="C51" i="5"/>
  <c r="T50" i="5"/>
  <c r="T32" i="5" s="1"/>
  <c r="N50" i="5"/>
  <c r="U49" i="5"/>
  <c r="Z49" i="5" s="1"/>
  <c r="N49" i="5"/>
  <c r="U48" i="5"/>
  <c r="Z48" i="5" s="1"/>
  <c r="N48" i="5"/>
  <c r="U47" i="5"/>
  <c r="Z47" i="5" s="1"/>
  <c r="N47" i="5"/>
  <c r="R46" i="5"/>
  <c r="U46" i="5" s="1"/>
  <c r="Z46" i="5" s="1"/>
  <c r="N46" i="5"/>
  <c r="U45" i="5"/>
  <c r="Z45" i="5" s="1"/>
  <c r="N45" i="5"/>
  <c r="U44" i="5"/>
  <c r="M44" i="5"/>
  <c r="U43" i="5"/>
  <c r="Z43" i="5" s="1"/>
  <c r="N43" i="5"/>
  <c r="S42" i="5"/>
  <c r="S32" i="5" s="1"/>
  <c r="R42" i="5"/>
  <c r="N42" i="5"/>
  <c r="U41" i="5"/>
  <c r="Z41" i="5" s="1"/>
  <c r="N41" i="5"/>
  <c r="U40" i="5"/>
  <c r="Z40" i="5" s="1"/>
  <c r="N40" i="5"/>
  <c r="U39" i="5"/>
  <c r="Z39" i="5" s="1"/>
  <c r="N39" i="5"/>
  <c r="U38" i="5"/>
  <c r="Z38" i="5" s="1"/>
  <c r="N38" i="5"/>
  <c r="U37" i="5"/>
  <c r="Z37" i="5" s="1"/>
  <c r="N37" i="5"/>
  <c r="U36" i="5"/>
  <c r="Z36" i="5" s="1"/>
  <c r="N36" i="5"/>
  <c r="W35" i="5"/>
  <c r="W32" i="5" s="1"/>
  <c r="U35" i="5"/>
  <c r="P35" i="5"/>
  <c r="M35" i="5"/>
  <c r="U34" i="5"/>
  <c r="Z34" i="5" s="1"/>
  <c r="P34" i="5"/>
  <c r="N34" i="5"/>
  <c r="U33" i="5"/>
  <c r="P33" i="5"/>
  <c r="M33" i="5"/>
  <c r="N33" i="5" s="1"/>
  <c r="Y32" i="5"/>
  <c r="X32" i="5"/>
  <c r="V32" i="5"/>
  <c r="Q32" i="5"/>
  <c r="O32" i="5"/>
  <c r="L32" i="5"/>
  <c r="J32" i="5"/>
  <c r="I32" i="5"/>
  <c r="H32" i="5"/>
  <c r="G32" i="5"/>
  <c r="F32" i="5"/>
  <c r="E32" i="5"/>
  <c r="D32" i="5"/>
  <c r="C32" i="5"/>
  <c r="U31" i="5"/>
  <c r="Z31" i="5" s="1"/>
  <c r="P31" i="5"/>
  <c r="P26" i="5" s="1"/>
  <c r="N31" i="5"/>
  <c r="U30" i="5"/>
  <c r="Z30" i="5" s="1"/>
  <c r="N30" i="5"/>
  <c r="U29" i="5"/>
  <c r="Z29" i="5" s="1"/>
  <c r="N29" i="5"/>
  <c r="U28" i="5"/>
  <c r="Z28" i="5" s="1"/>
  <c r="N28" i="5"/>
  <c r="T27" i="5"/>
  <c r="U27" i="5" s="1"/>
  <c r="Z27" i="5" s="1"/>
  <c r="N27" i="5"/>
  <c r="Y26" i="5"/>
  <c r="X26" i="5"/>
  <c r="W26" i="5"/>
  <c r="V26" i="5"/>
  <c r="S26" i="5"/>
  <c r="R26" i="5"/>
  <c r="Q26" i="5"/>
  <c r="O26" i="5"/>
  <c r="M26" i="5"/>
  <c r="L26" i="5"/>
  <c r="J26" i="5"/>
  <c r="I26" i="5"/>
  <c r="H26" i="5"/>
  <c r="G26" i="5"/>
  <c r="F26" i="5"/>
  <c r="E26" i="5"/>
  <c r="D26" i="5"/>
  <c r="C26" i="5"/>
  <c r="U25" i="5"/>
  <c r="Z25" i="5" s="1"/>
  <c r="N25" i="5"/>
  <c r="U24" i="5"/>
  <c r="Z24" i="5" s="1"/>
  <c r="N24" i="5"/>
  <c r="U23" i="5"/>
  <c r="Z23" i="5" s="1"/>
  <c r="N23" i="5"/>
  <c r="T22" i="5"/>
  <c r="U22" i="5" s="1"/>
  <c r="Z22" i="5" s="1"/>
  <c r="N22" i="5"/>
  <c r="U21" i="5"/>
  <c r="Z21" i="5" s="1"/>
  <c r="N21" i="5"/>
  <c r="U20" i="5"/>
  <c r="Z20" i="5" s="1"/>
  <c r="N20" i="5"/>
  <c r="U19" i="5"/>
  <c r="Z19" i="5" s="1"/>
  <c r="N19" i="5"/>
  <c r="U18" i="5"/>
  <c r="M18" i="5"/>
  <c r="N18" i="5" s="1"/>
  <c r="U17" i="5"/>
  <c r="M17" i="5"/>
  <c r="U16" i="5"/>
  <c r="Z16" i="5" s="1"/>
  <c r="N16" i="5"/>
  <c r="U15" i="5"/>
  <c r="Z15" i="5" s="1"/>
  <c r="N15" i="5"/>
  <c r="U14" i="5"/>
  <c r="Z14" i="5" s="1"/>
  <c r="N14" i="5"/>
  <c r="U13" i="5"/>
  <c r="Z13" i="5" s="1"/>
  <c r="N13" i="5"/>
  <c r="U12" i="5"/>
  <c r="Z12" i="5" s="1"/>
  <c r="N12" i="5"/>
  <c r="U11" i="5"/>
  <c r="Z11" i="5" s="1"/>
  <c r="N11" i="5"/>
  <c r="U10" i="5"/>
  <c r="Z10" i="5" s="1"/>
  <c r="N10" i="5"/>
  <c r="Y9" i="5"/>
  <c r="X9" i="5"/>
  <c r="W9" i="5"/>
  <c r="V9" i="5"/>
  <c r="R9" i="5"/>
  <c r="Q9" i="5"/>
  <c r="P9" i="5"/>
  <c r="O9" i="5"/>
  <c r="L9" i="5"/>
  <c r="J9" i="5"/>
  <c r="I9" i="5"/>
  <c r="H9" i="5"/>
  <c r="G9" i="5"/>
  <c r="F9" i="5"/>
  <c r="E9" i="5"/>
  <c r="D9" i="5"/>
  <c r="C9" i="5"/>
  <c r="M2" i="5"/>
  <c r="U96" i="4"/>
  <c r="M96" i="4"/>
  <c r="U95" i="4"/>
  <c r="Z95" i="4" s="1"/>
  <c r="AD95" i="4" s="1"/>
  <c r="N95" i="4"/>
  <c r="U94" i="4"/>
  <c r="Z94" i="4" s="1"/>
  <c r="AD94" i="4" s="1"/>
  <c r="N94" i="4"/>
  <c r="T93" i="4"/>
  <c r="M93" i="4"/>
  <c r="AB93" i="4" s="1"/>
  <c r="T92" i="4"/>
  <c r="U92" i="4" s="1"/>
  <c r="Z92" i="4" s="1"/>
  <c r="AD92" i="4" s="1"/>
  <c r="N92" i="4"/>
  <c r="U91" i="4"/>
  <c r="Z91" i="4" s="1"/>
  <c r="AD91" i="4" s="1"/>
  <c r="N91" i="4"/>
  <c r="U90" i="4"/>
  <c r="M90" i="4"/>
  <c r="N90" i="4" s="1"/>
  <c r="U89" i="4"/>
  <c r="Z89" i="4" s="1"/>
  <c r="AD89" i="4" s="1"/>
  <c r="N89" i="4"/>
  <c r="AB88" i="4"/>
  <c r="U88" i="4"/>
  <c r="Z88" i="4" s="1"/>
  <c r="N88" i="4"/>
  <c r="U87" i="4"/>
  <c r="M87" i="4"/>
  <c r="N87" i="4" s="1"/>
  <c r="U86" i="4"/>
  <c r="M86" i="4"/>
  <c r="N86" i="4" s="1"/>
  <c r="U85" i="4"/>
  <c r="M85" i="4"/>
  <c r="AB85" i="4" s="1"/>
  <c r="T84" i="4"/>
  <c r="U84" i="4" s="1"/>
  <c r="M84" i="4"/>
  <c r="AB84" i="4" s="1"/>
  <c r="U83" i="4"/>
  <c r="M83" i="4"/>
  <c r="U82" i="4"/>
  <c r="Z82" i="4" s="1"/>
  <c r="AD82" i="4" s="1"/>
  <c r="N82" i="4"/>
  <c r="U81" i="4"/>
  <c r="Z81" i="4" s="1"/>
  <c r="AD81" i="4" s="1"/>
  <c r="N81" i="4"/>
  <c r="U80" i="4"/>
  <c r="Z80" i="4" s="1"/>
  <c r="AD80" i="4" s="1"/>
  <c r="N80" i="4"/>
  <c r="U79" i="4"/>
  <c r="Z79" i="4" s="1"/>
  <c r="AD79" i="4" s="1"/>
  <c r="N79" i="4"/>
  <c r="U78" i="4"/>
  <c r="Z78" i="4" s="1"/>
  <c r="AD78" i="4" s="1"/>
  <c r="N78" i="4"/>
  <c r="U77" i="4"/>
  <c r="Z77" i="4" s="1"/>
  <c r="AD77" i="4" s="1"/>
  <c r="N77" i="4"/>
  <c r="U76" i="4"/>
  <c r="Z76" i="4" s="1"/>
  <c r="AD76" i="4" s="1"/>
  <c r="N76" i="4"/>
  <c r="U75" i="4"/>
  <c r="Z75" i="4" s="1"/>
  <c r="AD75" i="4" s="1"/>
  <c r="N75" i="4"/>
  <c r="U74" i="4"/>
  <c r="Z74" i="4" s="1"/>
  <c r="AD74" i="4" s="1"/>
  <c r="N74" i="4"/>
  <c r="U73" i="4"/>
  <c r="Z73" i="4" s="1"/>
  <c r="AD73" i="4" s="1"/>
  <c r="N73" i="4"/>
  <c r="U72" i="4"/>
  <c r="Z72" i="4" s="1"/>
  <c r="AD72" i="4" s="1"/>
  <c r="N72" i="4"/>
  <c r="U71" i="4"/>
  <c r="Z71" i="4" s="1"/>
  <c r="AD71" i="4" s="1"/>
  <c r="N71" i="4"/>
  <c r="U70" i="4"/>
  <c r="Z70" i="4" s="1"/>
  <c r="AD70" i="4" s="1"/>
  <c r="N70" i="4"/>
  <c r="U69" i="4"/>
  <c r="Z69" i="4" s="1"/>
  <c r="AD69" i="4" s="1"/>
  <c r="N69" i="4"/>
  <c r="U68" i="4"/>
  <c r="Z68" i="4" s="1"/>
  <c r="AD68" i="4" s="1"/>
  <c r="N68" i="4"/>
  <c r="U67" i="4"/>
  <c r="Z67" i="4" s="1"/>
  <c r="AD67" i="4" s="1"/>
  <c r="N67" i="4"/>
  <c r="W66" i="4"/>
  <c r="W65" i="4" s="1"/>
  <c r="U66" i="4"/>
  <c r="N66" i="4"/>
  <c r="AF65" i="4"/>
  <c r="AE65" i="4"/>
  <c r="AA65" i="4"/>
  <c r="V65" i="4"/>
  <c r="S65" i="4"/>
  <c r="R65" i="4"/>
  <c r="Q65" i="4"/>
  <c r="P65" i="4"/>
  <c r="O65" i="4"/>
  <c r="K65" i="4"/>
  <c r="J65" i="4"/>
  <c r="I65" i="4"/>
  <c r="H65" i="4"/>
  <c r="G65" i="4"/>
  <c r="F65" i="4"/>
  <c r="E65" i="4"/>
  <c r="D65" i="4"/>
  <c r="C65" i="4"/>
  <c r="U64" i="4"/>
  <c r="Z64" i="4" s="1"/>
  <c r="AD64" i="4" s="1"/>
  <c r="N64" i="4"/>
  <c r="U63" i="4"/>
  <c r="M63" i="4"/>
  <c r="N63" i="4" s="1"/>
  <c r="AB62" i="4"/>
  <c r="U62" i="4"/>
  <c r="Z62" i="4" s="1"/>
  <c r="N62" i="4"/>
  <c r="U61" i="4"/>
  <c r="M61" i="4"/>
  <c r="N61" i="4" s="1"/>
  <c r="U60" i="4"/>
  <c r="M60" i="4"/>
  <c r="N60" i="4" s="1"/>
  <c r="U59" i="4"/>
  <c r="M59" i="4"/>
  <c r="AB59" i="4" s="1"/>
  <c r="U58" i="4"/>
  <c r="Z58" i="4" s="1"/>
  <c r="AD58" i="4" s="1"/>
  <c r="N58" i="4"/>
  <c r="U57" i="4"/>
  <c r="Z57" i="4" s="1"/>
  <c r="AD57" i="4" s="1"/>
  <c r="N57" i="4"/>
  <c r="U56" i="4"/>
  <c r="Z56" i="4" s="1"/>
  <c r="AD56" i="4" s="1"/>
  <c r="N56" i="4"/>
  <c r="U55" i="4"/>
  <c r="Z55" i="4" s="1"/>
  <c r="AD55" i="4" s="1"/>
  <c r="N55" i="4"/>
  <c r="W54" i="4"/>
  <c r="W49" i="4" s="1"/>
  <c r="U54" i="4"/>
  <c r="M54" i="4"/>
  <c r="N54" i="4" s="1"/>
  <c r="U53" i="4"/>
  <c r="Z53" i="4" s="1"/>
  <c r="AD53" i="4" s="1"/>
  <c r="N53" i="4"/>
  <c r="U52" i="4"/>
  <c r="Z52" i="4" s="1"/>
  <c r="AD52" i="4" s="1"/>
  <c r="N52" i="4"/>
  <c r="U51" i="4"/>
  <c r="Z51" i="4" s="1"/>
  <c r="AD51" i="4" s="1"/>
  <c r="N51" i="4"/>
  <c r="AB50" i="4"/>
  <c r="U50" i="4"/>
  <c r="Z50" i="4" s="1"/>
  <c r="AD50" i="4" s="1"/>
  <c r="N50" i="4"/>
  <c r="AE49" i="4"/>
  <c r="AA49" i="4"/>
  <c r="V49" i="4"/>
  <c r="T49" i="4"/>
  <c r="S49" i="4"/>
  <c r="R49" i="4"/>
  <c r="Q49" i="4"/>
  <c r="P49" i="4"/>
  <c r="O49" i="4"/>
  <c r="K49" i="4"/>
  <c r="J49" i="4"/>
  <c r="I49" i="4"/>
  <c r="H49" i="4"/>
  <c r="G49" i="4"/>
  <c r="F49" i="4"/>
  <c r="E49" i="4"/>
  <c r="D49" i="4"/>
  <c r="C49" i="4"/>
  <c r="U47" i="4"/>
  <c r="Z47" i="4" s="1"/>
  <c r="AD47" i="4" s="1"/>
  <c r="N47" i="4"/>
  <c r="U46" i="4"/>
  <c r="M46" i="4"/>
  <c r="N46" i="4" s="1"/>
  <c r="U45" i="4"/>
  <c r="M45" i="4"/>
  <c r="N45" i="4" s="1"/>
  <c r="AB44" i="4"/>
  <c r="U44" i="4"/>
  <c r="Z44" i="4" s="1"/>
  <c r="N44" i="4"/>
  <c r="U43" i="4"/>
  <c r="M43" i="4"/>
  <c r="AB43" i="4" s="1"/>
  <c r="U42" i="4"/>
  <c r="Z42" i="4" s="1"/>
  <c r="AD42" i="4" s="1"/>
  <c r="N42" i="4"/>
  <c r="U41" i="4"/>
  <c r="Z41" i="4" s="1"/>
  <c r="AD41" i="4" s="1"/>
  <c r="N41" i="4"/>
  <c r="U40" i="4"/>
  <c r="Z40" i="4" s="1"/>
  <c r="AD40" i="4" s="1"/>
  <c r="N40" i="4"/>
  <c r="U39" i="4"/>
  <c r="Z39" i="4" s="1"/>
  <c r="AD39" i="4" s="1"/>
  <c r="N39" i="4"/>
  <c r="U38" i="4"/>
  <c r="Z38" i="4" s="1"/>
  <c r="AD38" i="4" s="1"/>
  <c r="N38" i="4"/>
  <c r="U37" i="4"/>
  <c r="Z37" i="4" s="1"/>
  <c r="AD37" i="4" s="1"/>
  <c r="N37" i="4"/>
  <c r="U36" i="4"/>
  <c r="Z36" i="4" s="1"/>
  <c r="AD36" i="4" s="1"/>
  <c r="N36" i="4"/>
  <c r="U35" i="4"/>
  <c r="Z35" i="4" s="1"/>
  <c r="AD35" i="4" s="1"/>
  <c r="N35" i="4"/>
  <c r="U34" i="4"/>
  <c r="Z34" i="4" s="1"/>
  <c r="AD34" i="4" s="1"/>
  <c r="N34" i="4"/>
  <c r="U33" i="4"/>
  <c r="Z33" i="4" s="1"/>
  <c r="AD33" i="4" s="1"/>
  <c r="N33" i="4"/>
  <c r="U32" i="4"/>
  <c r="Z32" i="4" s="1"/>
  <c r="AD32" i="4" s="1"/>
  <c r="N32" i="4"/>
  <c r="AB31" i="4"/>
  <c r="U31" i="4"/>
  <c r="Z31" i="4" s="1"/>
  <c r="N31" i="4"/>
  <c r="AE30" i="4"/>
  <c r="AA30" i="4"/>
  <c r="W30" i="4"/>
  <c r="V30" i="4"/>
  <c r="T30" i="4"/>
  <c r="S30" i="4"/>
  <c r="R30" i="4"/>
  <c r="Q30" i="4"/>
  <c r="P30" i="4"/>
  <c r="O30" i="4"/>
  <c r="K30" i="4"/>
  <c r="J30" i="4"/>
  <c r="I30" i="4"/>
  <c r="H30" i="4"/>
  <c r="G30" i="4"/>
  <c r="F30" i="4"/>
  <c r="E30" i="4"/>
  <c r="D30" i="4"/>
  <c r="C30" i="4"/>
  <c r="U28" i="4"/>
  <c r="Z28" i="4" s="1"/>
  <c r="AD28" i="4" s="1"/>
  <c r="N28" i="4"/>
  <c r="U27" i="4"/>
  <c r="Z27" i="4" s="1"/>
  <c r="AD27" i="4" s="1"/>
  <c r="N27" i="4"/>
  <c r="U26" i="4"/>
  <c r="Z26" i="4" s="1"/>
  <c r="AD26" i="4" s="1"/>
  <c r="N26" i="4"/>
  <c r="U25" i="4"/>
  <c r="Z25" i="4" s="1"/>
  <c r="AD25" i="4" s="1"/>
  <c r="N25" i="4"/>
  <c r="U24" i="4"/>
  <c r="Z24" i="4" s="1"/>
  <c r="AD24" i="4" s="1"/>
  <c r="N24" i="4"/>
  <c r="U23" i="4"/>
  <c r="Z23" i="4" s="1"/>
  <c r="AD23" i="4" s="1"/>
  <c r="N23" i="4"/>
  <c r="U22" i="4"/>
  <c r="Z22" i="4" s="1"/>
  <c r="AD22" i="4" s="1"/>
  <c r="N22" i="4"/>
  <c r="U21" i="4"/>
  <c r="M21" i="4"/>
  <c r="N21" i="4" s="1"/>
  <c r="U20" i="4"/>
  <c r="Z20" i="4" s="1"/>
  <c r="AD20" i="4" s="1"/>
  <c r="N20" i="4"/>
  <c r="U19" i="4"/>
  <c r="Z19" i="4" s="1"/>
  <c r="AD19" i="4" s="1"/>
  <c r="N19" i="4"/>
  <c r="U18" i="4"/>
  <c r="Z18" i="4" s="1"/>
  <c r="AD18" i="4" s="1"/>
  <c r="N18" i="4"/>
  <c r="U17" i="4"/>
  <c r="Z17" i="4" s="1"/>
  <c r="AD17" i="4" s="1"/>
  <c r="N17" i="4"/>
  <c r="U16" i="4"/>
  <c r="Z16" i="4" s="1"/>
  <c r="AD16" i="4" s="1"/>
  <c r="N16" i="4"/>
  <c r="U15" i="4"/>
  <c r="Z15" i="4" s="1"/>
  <c r="AD15" i="4" s="1"/>
  <c r="N15" i="4"/>
  <c r="U14" i="4"/>
  <c r="Z14" i="4" s="1"/>
  <c r="AD14" i="4" s="1"/>
  <c r="N14" i="4"/>
  <c r="U13" i="4"/>
  <c r="Z13" i="4" s="1"/>
  <c r="AD13" i="4" s="1"/>
  <c r="N13" i="4"/>
  <c r="U12" i="4"/>
  <c r="Z12" i="4" s="1"/>
  <c r="AD12" i="4" s="1"/>
  <c r="N12" i="4"/>
  <c r="U11" i="4"/>
  <c r="Z11" i="4" s="1"/>
  <c r="AD11" i="4" s="1"/>
  <c r="N11" i="4"/>
  <c r="AE9" i="4"/>
  <c r="AB9" i="4"/>
  <c r="AA9" i="4"/>
  <c r="AA8" i="4" s="1"/>
  <c r="W9" i="4"/>
  <c r="V9" i="4"/>
  <c r="T9" i="4"/>
  <c r="S9" i="4"/>
  <c r="R9" i="4"/>
  <c r="Q9" i="4"/>
  <c r="Q8" i="4" s="1"/>
  <c r="P9" i="4"/>
  <c r="O9" i="4"/>
  <c r="K9" i="4"/>
  <c r="J9" i="4"/>
  <c r="I9" i="4"/>
  <c r="H9" i="4"/>
  <c r="G9" i="4"/>
  <c r="F9" i="4"/>
  <c r="E9" i="4"/>
  <c r="D9" i="4"/>
  <c r="D8" i="4" s="1"/>
  <c r="C9" i="4"/>
  <c r="C88" i="1" l="1"/>
  <c r="C82" i="1" s="1"/>
  <c r="C25" i="1"/>
  <c r="D88" i="1"/>
  <c r="D82" i="1" s="1"/>
  <c r="D5" i="1"/>
  <c r="C5" i="1"/>
  <c r="T82" i="6"/>
  <c r="I82" i="6"/>
  <c r="C33" i="6"/>
  <c r="L33" i="6"/>
  <c r="E33" i="6"/>
  <c r="Q34" i="6"/>
  <c r="Q33" i="6" s="1"/>
  <c r="Z93" i="6"/>
  <c r="Z30" i="6"/>
  <c r="Z35" i="6"/>
  <c r="Z11" i="6"/>
  <c r="I33" i="6"/>
  <c r="Y8" i="6"/>
  <c r="Z29" i="6"/>
  <c r="J33" i="6"/>
  <c r="Z50" i="6"/>
  <c r="S33" i="6"/>
  <c r="Z85" i="6"/>
  <c r="Z51" i="6"/>
  <c r="V82" i="6"/>
  <c r="Z44" i="6"/>
  <c r="Z97" i="6"/>
  <c r="Z10" i="6"/>
  <c r="Q8" i="6"/>
  <c r="V33" i="6"/>
  <c r="T8" i="6"/>
  <c r="Z26" i="6"/>
  <c r="H33" i="6"/>
  <c r="Z46" i="6"/>
  <c r="J82" i="6"/>
  <c r="H8" i="6"/>
  <c r="H7" i="6" s="1"/>
  <c r="W8" i="6"/>
  <c r="Z24" i="6"/>
  <c r="W82" i="6"/>
  <c r="Z27" i="6"/>
  <c r="P82" i="6"/>
  <c r="X8" i="6"/>
  <c r="F8" i="6"/>
  <c r="AA8" i="6"/>
  <c r="U94" i="6"/>
  <c r="G8" i="6"/>
  <c r="Z52" i="6"/>
  <c r="U75" i="6"/>
  <c r="Z75" i="6" s="1"/>
  <c r="H82" i="6"/>
  <c r="S82" i="6"/>
  <c r="M22" i="6"/>
  <c r="Z39" i="6"/>
  <c r="N51" i="6"/>
  <c r="Z77" i="6"/>
  <c r="O82" i="6"/>
  <c r="X82" i="6"/>
  <c r="N97" i="6"/>
  <c r="U58" i="6"/>
  <c r="Z58" i="6" s="1"/>
  <c r="W33" i="6"/>
  <c r="N75" i="6"/>
  <c r="N85" i="6"/>
  <c r="N83" i="6" s="1"/>
  <c r="F82" i="6"/>
  <c r="V8" i="6"/>
  <c r="AA33" i="6"/>
  <c r="Z40" i="6"/>
  <c r="O34" i="6"/>
  <c r="O33" i="6" s="1"/>
  <c r="X33" i="6"/>
  <c r="D33" i="6"/>
  <c r="C82" i="6"/>
  <c r="L82" i="6"/>
  <c r="G82" i="6"/>
  <c r="D8" i="6"/>
  <c r="Z31" i="6"/>
  <c r="M34" i="6"/>
  <c r="M33" i="6" s="1"/>
  <c r="P33" i="6"/>
  <c r="E8" i="6"/>
  <c r="E7" i="6" s="1"/>
  <c r="I8" i="6"/>
  <c r="I7" i="6" s="1"/>
  <c r="R33" i="6"/>
  <c r="Z47" i="6"/>
  <c r="F33" i="6"/>
  <c r="Y82" i="6"/>
  <c r="G33" i="6"/>
  <c r="N71" i="5"/>
  <c r="F8" i="5"/>
  <c r="F7" i="5" s="1"/>
  <c r="U71" i="5"/>
  <c r="T9" i="5"/>
  <c r="Z69" i="5"/>
  <c r="Z83" i="5"/>
  <c r="Z97" i="5"/>
  <c r="Z18" i="5"/>
  <c r="Z76" i="5"/>
  <c r="Z94" i="5"/>
  <c r="O8" i="5"/>
  <c r="O7" i="5" s="1"/>
  <c r="U42" i="5"/>
  <c r="Z42" i="5" s="1"/>
  <c r="Z95" i="5"/>
  <c r="E8" i="5"/>
  <c r="E7" i="5" s="1"/>
  <c r="T80" i="5"/>
  <c r="T79" i="5" s="1"/>
  <c r="U79" i="5" s="1"/>
  <c r="S8" i="5"/>
  <c r="S7" i="5" s="1"/>
  <c r="M32" i="5"/>
  <c r="M71" i="5"/>
  <c r="N97" i="5"/>
  <c r="X8" i="5"/>
  <c r="X7" i="5" s="1"/>
  <c r="T51" i="5"/>
  <c r="U51" i="5" s="1"/>
  <c r="Z72" i="5"/>
  <c r="Z89" i="5"/>
  <c r="I8" i="5"/>
  <c r="I7" i="5" s="1"/>
  <c r="G8" i="5"/>
  <c r="G7" i="5" s="1"/>
  <c r="Q8" i="5"/>
  <c r="Q7" i="5" s="1"/>
  <c r="P32" i="5"/>
  <c r="P8" i="5" s="1"/>
  <c r="Z73" i="5"/>
  <c r="N83" i="5"/>
  <c r="Z87" i="5"/>
  <c r="W8" i="5"/>
  <c r="W7" i="5" s="1"/>
  <c r="H8" i="5"/>
  <c r="H7" i="5" s="1"/>
  <c r="V8" i="5"/>
  <c r="V7" i="5" s="1"/>
  <c r="Z33" i="5"/>
  <c r="Z81" i="5"/>
  <c r="R32" i="5"/>
  <c r="U32" i="5" s="1"/>
  <c r="J8" i="5"/>
  <c r="J7" i="5" s="1"/>
  <c r="C8" i="5"/>
  <c r="C7" i="5" s="1"/>
  <c r="L8" i="5"/>
  <c r="L7" i="5" s="1"/>
  <c r="Z90" i="5"/>
  <c r="P80" i="5"/>
  <c r="P79" i="5" s="1"/>
  <c r="Y8" i="4"/>
  <c r="Y7" i="4"/>
  <c r="X8" i="4"/>
  <c r="X7" i="4" s="1"/>
  <c r="AA48" i="4"/>
  <c r="S48" i="4"/>
  <c r="E48" i="4"/>
  <c r="P48" i="4"/>
  <c r="S8" i="4"/>
  <c r="P8" i="4"/>
  <c r="J48" i="4"/>
  <c r="Z54" i="4"/>
  <c r="AD54" i="4" s="1"/>
  <c r="C48" i="4"/>
  <c r="K48" i="4"/>
  <c r="W48" i="4"/>
  <c r="V8" i="4"/>
  <c r="G48" i="4"/>
  <c r="R48" i="4"/>
  <c r="G8" i="4"/>
  <c r="D48" i="4"/>
  <c r="D7" i="4" s="1"/>
  <c r="O48" i="4"/>
  <c r="F48" i="4"/>
  <c r="AB86" i="4"/>
  <c r="I8" i="4"/>
  <c r="AE48" i="4"/>
  <c r="Z60" i="4"/>
  <c r="Z66" i="4"/>
  <c r="AD66" i="4" s="1"/>
  <c r="N84" i="4"/>
  <c r="O8" i="4"/>
  <c r="Z21" i="4"/>
  <c r="AD21" i="4" s="1"/>
  <c r="N43" i="4"/>
  <c r="AA43" i="4" s="1"/>
  <c r="Z45" i="4"/>
  <c r="AD45" i="4" s="1"/>
  <c r="N59" i="4"/>
  <c r="N49" i="4" s="1"/>
  <c r="Z61" i="4"/>
  <c r="AB63" i="4"/>
  <c r="N85" i="4"/>
  <c r="Z87" i="4"/>
  <c r="T65" i="4"/>
  <c r="U65" i="4" s="1"/>
  <c r="E8" i="4"/>
  <c r="E7" i="4" s="1"/>
  <c r="J8" i="4"/>
  <c r="Z59" i="4"/>
  <c r="AD59" i="4" s="1"/>
  <c r="AB61" i="4"/>
  <c r="V48" i="4"/>
  <c r="M65" i="4"/>
  <c r="Z90" i="4"/>
  <c r="AD90" i="4" s="1"/>
  <c r="F8" i="4"/>
  <c r="AD31" i="4"/>
  <c r="Z43" i="4"/>
  <c r="AD43" i="4" s="1"/>
  <c r="Z85" i="4"/>
  <c r="AD85" i="4" s="1"/>
  <c r="AD88" i="4"/>
  <c r="R8" i="4"/>
  <c r="M30" i="4"/>
  <c r="AB30" i="4"/>
  <c r="AB8" i="4" s="1"/>
  <c r="AD62" i="4"/>
  <c r="AE8" i="4"/>
  <c r="AD44" i="4"/>
  <c r="H8" i="4"/>
  <c r="U49" i="4"/>
  <c r="AA7" i="4"/>
  <c r="T8" i="4"/>
  <c r="U9" i="4"/>
  <c r="H48" i="4"/>
  <c r="C8" i="4"/>
  <c r="K8" i="4"/>
  <c r="W8" i="4"/>
  <c r="I48" i="4"/>
  <c r="Z63" i="4"/>
  <c r="AD63" i="4" s="1"/>
  <c r="U30" i="4"/>
  <c r="Z46" i="4"/>
  <c r="AD46" i="4" s="1"/>
  <c r="Z96" i="4"/>
  <c r="AD96" i="4" s="1"/>
  <c r="N9" i="6"/>
  <c r="U22" i="6"/>
  <c r="Z22" i="6" s="1"/>
  <c r="R8" i="6"/>
  <c r="N28" i="6"/>
  <c r="M25" i="6"/>
  <c r="Z28" i="6"/>
  <c r="T34" i="6"/>
  <c r="T33" i="6" s="1"/>
  <c r="T7" i="6" s="1"/>
  <c r="U61" i="6"/>
  <c r="Z61" i="6" s="1"/>
  <c r="Z49" i="6"/>
  <c r="N49" i="6"/>
  <c r="Z54" i="6"/>
  <c r="N54" i="6"/>
  <c r="U65" i="6"/>
  <c r="Z65" i="6" s="1"/>
  <c r="U83" i="6"/>
  <c r="U82" i="6" s="1"/>
  <c r="Q82" i="6"/>
  <c r="M94" i="6"/>
  <c r="Z99" i="6"/>
  <c r="N99" i="6"/>
  <c r="J8" i="6"/>
  <c r="O9" i="6"/>
  <c r="O8" i="6" s="1"/>
  <c r="N38" i="6"/>
  <c r="Z38" i="6"/>
  <c r="C8" i="6"/>
  <c r="L8" i="6"/>
  <c r="N32" i="6"/>
  <c r="Z32" i="6"/>
  <c r="N94" i="6"/>
  <c r="N48" i="6"/>
  <c r="Z48" i="6"/>
  <c r="U9" i="6"/>
  <c r="S8" i="6"/>
  <c r="P7" i="6"/>
  <c r="U25" i="6"/>
  <c r="Z72" i="6"/>
  <c r="N72" i="6"/>
  <c r="Z43" i="6"/>
  <c r="N47" i="6"/>
  <c r="N66" i="6"/>
  <c r="N24" i="6"/>
  <c r="N22" i="6" s="1"/>
  <c r="N27" i="6"/>
  <c r="N31" i="6"/>
  <c r="N46" i="6"/>
  <c r="N52" i="6"/>
  <c r="Z53" i="6"/>
  <c r="Z66" i="6"/>
  <c r="M83" i="6"/>
  <c r="Z92" i="6"/>
  <c r="Z17" i="5"/>
  <c r="M9" i="5"/>
  <c r="N17" i="5"/>
  <c r="N9" i="5" s="1"/>
  <c r="T26" i="5"/>
  <c r="Z96" i="5"/>
  <c r="N96" i="5"/>
  <c r="Y8" i="5"/>
  <c r="Y7" i="5" s="1"/>
  <c r="Z70" i="5"/>
  <c r="N70" i="5"/>
  <c r="N51" i="5" s="1"/>
  <c r="D8" i="5"/>
  <c r="D7" i="5" s="1"/>
  <c r="N26" i="5"/>
  <c r="Z82" i="5"/>
  <c r="N82" i="5"/>
  <c r="M80" i="5"/>
  <c r="Z44" i="5"/>
  <c r="N44" i="5"/>
  <c r="U9" i="5"/>
  <c r="Z35" i="5"/>
  <c r="N35" i="5"/>
  <c r="Z84" i="5"/>
  <c r="U80" i="5"/>
  <c r="M51" i="5"/>
  <c r="U50" i="5"/>
  <c r="Z50" i="5" s="1"/>
  <c r="N90" i="5"/>
  <c r="N95" i="5"/>
  <c r="N9" i="4"/>
  <c r="AB60" i="4"/>
  <c r="N83" i="4"/>
  <c r="Z86" i="4"/>
  <c r="AB87" i="4"/>
  <c r="N93" i="4"/>
  <c r="M9" i="4"/>
  <c r="Q48" i="4"/>
  <c r="M49" i="4"/>
  <c r="Z83" i="4"/>
  <c r="Z84" i="4"/>
  <c r="AD84" i="4" s="1"/>
  <c r="U93" i="4"/>
  <c r="Z93" i="4" s="1"/>
  <c r="AD93" i="4" s="1"/>
  <c r="N96" i="4"/>
  <c r="AB83" i="4"/>
  <c r="D102" i="1" l="1"/>
  <c r="D112" i="1" s="1"/>
  <c r="C102" i="1"/>
  <c r="C112" i="1" s="1"/>
  <c r="W7" i="6"/>
  <c r="J7" i="6"/>
  <c r="S7" i="6"/>
  <c r="Y7" i="6"/>
  <c r="V7" i="6"/>
  <c r="X7" i="6"/>
  <c r="L7" i="6"/>
  <c r="N82" i="6"/>
  <c r="G7" i="6"/>
  <c r="F7" i="6"/>
  <c r="Z94" i="6"/>
  <c r="U8" i="6"/>
  <c r="C7" i="6"/>
  <c r="N65" i="6"/>
  <c r="U34" i="6"/>
  <c r="U33" i="6" s="1"/>
  <c r="D7" i="6"/>
  <c r="AA7" i="6"/>
  <c r="Z25" i="6"/>
  <c r="R7" i="6"/>
  <c r="Q7" i="6"/>
  <c r="N34" i="6"/>
  <c r="O7" i="6"/>
  <c r="T8" i="5"/>
  <c r="T7" i="5" s="1"/>
  <c r="Z71" i="5"/>
  <c r="U26" i="5"/>
  <c r="Z26" i="5" s="1"/>
  <c r="P7" i="5"/>
  <c r="Z51" i="5"/>
  <c r="Z32" i="5"/>
  <c r="N32" i="5"/>
  <c r="N8" i="5" s="1"/>
  <c r="R8" i="5"/>
  <c r="R7" i="5" s="1"/>
  <c r="N80" i="5"/>
  <c r="N79" i="5" s="1"/>
  <c r="P7" i="4"/>
  <c r="W7" i="4"/>
  <c r="AB49" i="4"/>
  <c r="S7" i="4"/>
  <c r="J7" i="4"/>
  <c r="C7" i="4"/>
  <c r="K7" i="4"/>
  <c r="G7" i="4"/>
  <c r="V7" i="4"/>
  <c r="R7" i="4"/>
  <c r="H7" i="4"/>
  <c r="O7" i="4"/>
  <c r="AD87" i="4"/>
  <c r="AD86" i="4"/>
  <c r="Z30" i="4"/>
  <c r="AD30" i="4" s="1"/>
  <c r="F7" i="4"/>
  <c r="Z65" i="4"/>
  <c r="N30" i="4"/>
  <c r="N8" i="4" s="1"/>
  <c r="I7" i="4"/>
  <c r="T48" i="4"/>
  <c r="T7" i="4" s="1"/>
  <c r="AE7" i="4"/>
  <c r="AD61" i="4"/>
  <c r="N65" i="4"/>
  <c r="U8" i="4"/>
  <c r="AB65" i="4"/>
  <c r="AD83" i="4"/>
  <c r="Z9" i="6"/>
  <c r="Z83" i="6"/>
  <c r="M82" i="6"/>
  <c r="M8" i="6"/>
  <c r="N25" i="6"/>
  <c r="N8" i="6" s="1"/>
  <c r="Z9" i="5"/>
  <c r="M8" i="5"/>
  <c r="Z80" i="5"/>
  <c r="M79" i="5"/>
  <c r="Z79" i="5" s="1"/>
  <c r="M48" i="4"/>
  <c r="Z49" i="4"/>
  <c r="AD60" i="4"/>
  <c r="Q7" i="4"/>
  <c r="M8" i="4"/>
  <c r="Z9" i="4"/>
  <c r="N33" i="6" l="1"/>
  <c r="U7" i="6"/>
  <c r="Z34" i="6"/>
  <c r="Z33" i="6" s="1"/>
  <c r="N7" i="6"/>
  <c r="N7" i="5"/>
  <c r="U8" i="5"/>
  <c r="U7" i="5" s="1"/>
  <c r="M7" i="5"/>
  <c r="O2" i="5" s="1"/>
  <c r="AD49" i="4"/>
  <c r="AB48" i="4"/>
  <c r="AB7" i="4" s="1"/>
  <c r="M7" i="4"/>
  <c r="AD65" i="4"/>
  <c r="U48" i="4"/>
  <c r="Z48" i="4" s="1"/>
  <c r="AD48" i="4" s="1"/>
  <c r="Z8" i="6"/>
  <c r="M7" i="6"/>
  <c r="O2" i="6" s="1"/>
  <c r="Z82" i="6"/>
  <c r="Z8" i="5"/>
  <c r="Z7" i="5" s="1"/>
  <c r="D6" i="2" s="1"/>
  <c r="Z8" i="4"/>
  <c r="AD9" i="4"/>
  <c r="N48" i="4"/>
  <c r="N7" i="4" s="1"/>
  <c r="U7" i="4" l="1"/>
  <c r="Z7" i="6"/>
  <c r="D7" i="2" s="1"/>
  <c r="AD8" i="4"/>
  <c r="Z7" i="4"/>
  <c r="AD7" i="4" l="1"/>
  <c r="D5" i="2"/>
  <c r="D8" i="2" s="1"/>
  <c r="B111" i="1" l="1"/>
  <c r="B80" i="1"/>
  <c r="B29" i="1"/>
  <c r="B23" i="1"/>
  <c r="B19" i="1"/>
  <c r="B7" i="1"/>
  <c r="B6" i="1" s="1"/>
  <c r="B25" i="1" l="1"/>
  <c r="B5" i="1"/>
  <c r="B1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Valė Pliaugienė</author>
  </authors>
  <commentList>
    <comment ref="M96" authorId="0" shapeId="0" xr:uid="{490AA7B6-FB23-4200-BC4A-240C1A04A62D}">
      <text>
        <r>
          <rPr>
            <b/>
            <sz val="9"/>
            <color indexed="81"/>
            <rFont val="Tahoma"/>
            <family val="2"/>
            <charset val="186"/>
          </rPr>
          <t>Valė Pliaugienė:</t>
        </r>
        <r>
          <rPr>
            <sz val="9"/>
            <color indexed="81"/>
            <rFont val="Tahoma"/>
            <family val="2"/>
            <charset val="186"/>
          </rPr>
          <t xml:space="preserve">
pakeistas lėšų šaltinis. Buvo planuota 1302 lėšose
</t>
        </r>
      </text>
    </comment>
  </commentList>
</comments>
</file>

<file path=xl/sharedStrings.xml><?xml version="1.0" encoding="utf-8"?>
<sst xmlns="http://schemas.openxmlformats.org/spreadsheetml/2006/main" count="902" uniqueCount="801">
  <si>
    <t>tūkst. eurų</t>
  </si>
  <si>
    <t xml:space="preserve">Pajamų pavadinimas                                    </t>
  </si>
  <si>
    <t>Gyventojų pajamų mokesčio dalis, tenkanti savivaldybei %</t>
  </si>
  <si>
    <t xml:space="preserve">MOKESČIAI </t>
  </si>
  <si>
    <t xml:space="preserve">Pajamų ir pelno mokesčiai </t>
  </si>
  <si>
    <t xml:space="preserve">Gyventojų pajamų mokestis, iš viso </t>
  </si>
  <si>
    <t>Gyventojų pajamų mokestis (Pastovioji dalis, gauta iš VMI)</t>
  </si>
  <si>
    <t>Gyventojų pajamų mokestis savivaldybių išlaidų struktūros skirtumams išlyginti</t>
  </si>
  <si>
    <t>GPM išlyginti</t>
  </si>
  <si>
    <t>GPM kintama dalis 2018-2023 m.</t>
  </si>
  <si>
    <t>GPM kintama dalis.Finansiniams ištekliams papildyti-verslo liudijimai</t>
  </si>
  <si>
    <t>Fiksuoto dydžio GPM</t>
  </si>
  <si>
    <t>GPM kintama dalis.pagal TA perduotoms f-joms vykdyti</t>
  </si>
  <si>
    <t>GPM kintama dalis. Išlaidų pokyčiams 2024 m.</t>
  </si>
  <si>
    <t>GPM kintama dalis.Kultūros darbuotojams</t>
  </si>
  <si>
    <t>GPM iš veiklos, kuria verčiamasi turint verslo liudijimą</t>
  </si>
  <si>
    <t xml:space="preserve">Turto mokesčiai </t>
  </si>
  <si>
    <t>Žemės mokestis</t>
  </si>
  <si>
    <t xml:space="preserve">Paveldimo ir dovanojamo turto mokestis </t>
  </si>
  <si>
    <t xml:space="preserve">Nekilnojamojo turto mokestis </t>
  </si>
  <si>
    <t xml:space="preserve">Prekių ir paslaugų mokesčiai </t>
  </si>
  <si>
    <t>Mokestis už aplinkos teršimą</t>
  </si>
  <si>
    <t xml:space="preserve">DOTACIJOS </t>
  </si>
  <si>
    <t>ES projektų lėšos</t>
  </si>
  <si>
    <t>ES finansinės paramos lėšos</t>
  </si>
  <si>
    <t>Mokymo lėšos</t>
  </si>
  <si>
    <t>Valstybinėms (perduotoms savivaldybėms) funkcijoms atlikti</t>
  </si>
  <si>
    <t xml:space="preserve">Plėtoti sveiką gyvenseną  bei stiprinti sveikos gyvensenos įgūdžius ugdymo įstaigose ir bendruomenėse, vykdyti visuomenės sveikatos stebėseną savivaldybėse </t>
  </si>
  <si>
    <t>Plėtoti visuomenės psichikos sveikatos paslaugų prieinamumą bei ankstyvojo savižudybių atpažinimo ir kompleksinės pagalbos teikimo sistemai</t>
  </si>
  <si>
    <t>Gyventojų  registrui tvarkyti ir duomenims valstybės registrams teikti</t>
  </si>
  <si>
    <t>Civilinės būklės aktams registruoti</t>
  </si>
  <si>
    <t>Jaunimo teisių apsaugai</t>
  </si>
  <si>
    <t>Piliečių prašymams atkurti nuosavybės teises į išlikusį nek. turtą nagrinėti ir sprendimams priimti</t>
  </si>
  <si>
    <t>Valstybinės kalbos vartojimo ir taisyklingumo kontrolei</t>
  </si>
  <si>
    <t>Savivaldybei priskirtiems archyviniams dokumentams  tvarkyti</t>
  </si>
  <si>
    <t>Būsto nuomos mokesčio daliai kompensuoti</t>
  </si>
  <si>
    <t>Mobilizacijai administruoti</t>
  </si>
  <si>
    <t>Civilinei saugai</t>
  </si>
  <si>
    <t>Socialinėms išmokoms ir kompensacijoms skaičiuoti ir mokėti</t>
  </si>
  <si>
    <t>Valstybės garantuojamai pirminei teisinei  pagalbai teikti</t>
  </si>
  <si>
    <r>
      <t>Teikti duomenis Suteiktos valstybės pagalbos ir nereikšmingos (</t>
    </r>
    <r>
      <rPr>
        <i/>
        <sz val="12"/>
        <rFont val="Times New Roman"/>
        <family val="1"/>
        <charset val="186"/>
      </rPr>
      <t>de minimis</t>
    </r>
    <r>
      <rPr>
        <sz val="12"/>
        <rFont val="Times New Roman"/>
        <family val="1"/>
        <charset val="186"/>
      </rPr>
      <t>) pagalbos registrui</t>
    </r>
  </si>
  <si>
    <t>Neveiksnių asmenų būklės peržiūrėjimui užtikrinti</t>
  </si>
  <si>
    <t>Tarpinstitucinio bendradarbiavimo koordinatoriaus pareigybei finansuoti</t>
  </si>
  <si>
    <t>Gyvenamosios vietos deklaravimo duomenų ir gyvenamosios vietos neturinčių asmenų apskaitos duomenims tvarkyti</t>
  </si>
  <si>
    <t>Savivaldybei priskirtai valstybinei žemei ir kitam valstybės turtui valdyti, naudoti ir disponuoti juo  patikėjimo teise</t>
  </si>
  <si>
    <t>Savivaldybių patvirtintoms užimtumo didinimo programoms įgyvendinti</t>
  </si>
  <si>
    <t>Socialinei paramai mokiniams</t>
  </si>
  <si>
    <t>Socialinėms paslaugoms</t>
  </si>
  <si>
    <t>Žemės ūkio funkcijoms atlikti</t>
  </si>
  <si>
    <t>Savivaldybės erdvinių duomenų rinkinio tvarkymo funkcijai atlikti</t>
  </si>
  <si>
    <t>Spec. dotacija spec. poreikių mokinių turinčioms įstaigoms išlaikyti</t>
  </si>
  <si>
    <t>Spec. dotacija perduotoms iš apskričių soc. įstaigoms išlaikyti</t>
  </si>
  <si>
    <t>Projektų VB dalis</t>
  </si>
  <si>
    <t>Mokymo lėšos skaitmeninio ugdymo plėtrai iš valstybės vardu pasiskolintų lėšų įgyvendinant Ateities ekonomikos DNR planą</t>
  </si>
  <si>
    <t>Savivaldybės viešajai bibliotekai dokumentams įsigyti</t>
  </si>
  <si>
    <t xml:space="preserve">Nuotekų tvarkymo būklės gerinimo Alytaus mieste privačių namų sektoriuje </t>
  </si>
  <si>
    <t>Mokytojų, dirbančių pagal neformaliojo vaikų švietimo programas, darbo apmokėjimui</t>
  </si>
  <si>
    <t>Asbesto turinčių gaminių atliekoms tvarkyti</t>
  </si>
  <si>
    <t xml:space="preserve">Sosnovskio barščio naikinimo projektui įgyvendinti </t>
  </si>
  <si>
    <t>Akredituotai vaikų dienos soc. priežiūrai organizuoti, teikti ir administruoti</t>
  </si>
  <si>
    <t>Neformaliajam vaikų švietimui finansuoti</t>
  </si>
  <si>
    <t>Kultūros darbuotojų darbo užmokesčiui padidinti</t>
  </si>
  <si>
    <t>Padangų atliekų transportavimui</t>
  </si>
  <si>
    <t>Stiprinti bendruomeninę veiklą savivaldybėse</t>
  </si>
  <si>
    <t>Padidėjusioms būsto šildymo išlaidoms kompensuoti</t>
  </si>
  <si>
    <t>Biudžetinių įstaigų vadovaujančių darbuotojų minimaliems pareiginės algos koef. padidinti, siekiant gerinti jų apmokėjimo sąlygas</t>
  </si>
  <si>
    <t>Pedagoginių darbuotojų, išlaikomų iš savivaldybės biudžeto lėšų, darbo užmokesčiui didinti</t>
  </si>
  <si>
    <t>Asmeninei pagalbai teikti ir administruoti</t>
  </si>
  <si>
    <t>Organizuoti socialinės reabilitacijos paslaugų neįgaliesiems bendruomenėje teikimą</t>
  </si>
  <si>
    <t>Būsto pritaikymas neįgaliesiems</t>
  </si>
  <si>
    <t>Karjeros konsultantų tinklo vystymo projekto lėšos</t>
  </si>
  <si>
    <t>Kompleksinėms paslaugoms šeimai organizuoti</t>
  </si>
  <si>
    <t>Speciali tikslinė dotacija, iš jų:</t>
  </si>
  <si>
    <t>Kelių priežiūros ir plėtros programos lėšos</t>
  </si>
  <si>
    <t xml:space="preserve">KITOS PAJAMOS </t>
  </si>
  <si>
    <t>Palūkanos už indėlius, depozitus ir sąskaitų likučius</t>
  </si>
  <si>
    <t>Dividendai ir kitos pelno įmokos</t>
  </si>
  <si>
    <t xml:space="preserve">Turto pajamos </t>
  </si>
  <si>
    <t>Nuomos mokestis už valstybinę žemę ir valstybinio vidaus vandenų fondo vandens telkinius</t>
  </si>
  <si>
    <t>Mokesčiai už valstybinius gamtos išteklius</t>
  </si>
  <si>
    <t>Pajamos už teikiamas paslaugas, iš viso</t>
  </si>
  <si>
    <t xml:space="preserve">BĮ pajamos už teikiamas paslaugas </t>
  </si>
  <si>
    <t>Pajamos už ilgalaikio ir trumpalaikio turto nuomą</t>
  </si>
  <si>
    <t xml:space="preserve">Pajamos už prekes ir paslaugas </t>
  </si>
  <si>
    <t>Įmokos už išlaikymą švietimo, socialinės apsaugos ir kitose įstaigose</t>
  </si>
  <si>
    <t>Rinkliavos</t>
  </si>
  <si>
    <t>Valstybės rinkliavos</t>
  </si>
  <si>
    <t>Vietinės rinkliavos</t>
  </si>
  <si>
    <t>Atliekų tvarkymo rinkliava</t>
  </si>
  <si>
    <t>Pajamos iš baudų, konfiskuoto turto ir kitų netesybų</t>
  </si>
  <si>
    <t>Kitos neišvardytos pajamos</t>
  </si>
  <si>
    <t>Materialiojo ir nematerialiojo turto pajamos</t>
  </si>
  <si>
    <t>Infrastruktūros plėtros įmokos</t>
  </si>
  <si>
    <t>VISOS PAJAMOS</t>
  </si>
  <si>
    <t>iš jų savarankiškoms f-joms vykdyti</t>
  </si>
  <si>
    <t>KITI FINANSAVIMO ŠALTINIAI (Iš likučių)</t>
  </si>
  <si>
    <t>Skolintos lėšos</t>
  </si>
  <si>
    <t>Tikslinę paskirtį turinčių lėšų likutis m. pradžioje</t>
  </si>
  <si>
    <t>Pajamų iš veiklos (spec. lėšos) likutis m. pradžioje</t>
  </si>
  <si>
    <t>Kitas lėšų likutis m. pradžioje, nukreiptas išlaidoms</t>
  </si>
  <si>
    <t>Kitas lėšų likutis m. pradžioje, nukreiptas paskoloms grąžinti</t>
  </si>
  <si>
    <t>Metų pradžios lėšų likutis</t>
  </si>
  <si>
    <t>IŠ VISO</t>
  </si>
  <si>
    <t>2025 m.</t>
  </si>
  <si>
    <t>GPM kintamoji dalis. Minimalios algos didėjimui</t>
  </si>
  <si>
    <t>Savivaldybei priskirtai ir perduotai valstybinei žemei miestų ir miestelių ribose valdyti, naudoti ir disponuoti juo patikėjimo teise</t>
  </si>
  <si>
    <t>Socialinių paslaugų įstaigų ir socialinių paslaugų srities darbuotojų darbo užmokesčiui padidinti</t>
  </si>
  <si>
    <t>Gyvenamojo būsto tikslinėms grupėms užtikrinimas</t>
  </si>
  <si>
    <t>Asmenų su negalia reikalų koordinatoriaus funkcijai vykdyti.</t>
  </si>
  <si>
    <t>Laikino atokvėpio paslaugai teikti ir administruoti</t>
  </si>
  <si>
    <t>Palūkanos už indėlius, depozitus, sąskaitų likučius</t>
  </si>
  <si>
    <t>Priemonės kodai</t>
  </si>
  <si>
    <t>Programos priemonės pavadinimas</t>
  </si>
  <si>
    <t>2024 m. planas m. pradž. Iš viso</t>
  </si>
  <si>
    <t>2024 m.pr. iš jų:</t>
  </si>
  <si>
    <t xml:space="preserve"> 2024 m. planas m. pab. iš viso</t>
  </si>
  <si>
    <t xml:space="preserve"> 2024 m. įvykdyta. Iš viso (2024-12-30 d. )</t>
  </si>
  <si>
    <t>SB (15101; 15104)</t>
  </si>
  <si>
    <t>spec. l.</t>
  </si>
  <si>
    <t>likučio l.</t>
  </si>
  <si>
    <t>3a</t>
  </si>
  <si>
    <t>3b</t>
  </si>
  <si>
    <t>3c</t>
  </si>
  <si>
    <t>4a</t>
  </si>
  <si>
    <t>8-3a</t>
  </si>
  <si>
    <t>9-3b</t>
  </si>
  <si>
    <t>10+11+12+13</t>
  </si>
  <si>
    <t>p</t>
  </si>
  <si>
    <t>DARNAUS TERITORIJŲ IR INFRASTRUKTŪROS VYSTYMO PROGRAMA</t>
  </si>
  <si>
    <t>31.1.</t>
  </si>
  <si>
    <t>31.1.1.</t>
  </si>
  <si>
    <t>31.1.1.01.</t>
  </si>
  <si>
    <t>Atsinaujinančių energijos išteklių panaudojimo Alytaus lopšelyje-darželyje „Nykštukas“ projekto įgyvendinimas</t>
  </si>
  <si>
    <t>31.1.1.02.</t>
  </si>
  <si>
    <t>Gatvių apšvietimo modernizavimas</t>
  </si>
  <si>
    <t>1200 tūkst. Eur Gatvių apšvietimo modernizavimo III etapas</t>
  </si>
  <si>
    <t>500 tūkst. Eur Gatvių apšvietimo modernizavimo I etapas</t>
  </si>
  <si>
    <t>Sutaupyta perkant III etapo darbus</t>
  </si>
  <si>
    <t>31.1.1.03.</t>
  </si>
  <si>
    <t>Daugiabučių gyvenamųjų namų modernizavimo ir jų aplinkos pritaikymo šiandienos poreikiams skatinimas</t>
  </si>
  <si>
    <t>31.1.1.04.</t>
  </si>
  <si>
    <t>Atsinaujinančių energijos išteklių (saulės) panaudojimo Alytaus kultūros centre projekto įgyvendinimas</t>
  </si>
  <si>
    <t>31.1.1.05.</t>
  </si>
  <si>
    <t>Individualių gyvenamųjų namų energijos suvartojimo mažinimo skatinimas (UAB „Alytaus šilumos tinklai“)</t>
  </si>
  <si>
    <t>31.1.1.06.</t>
  </si>
  <si>
    <t>Savivaldybės valdomų viešųjų pastatų modernizavimas, diegiant energijos panaudojimo efektyvumo didinimo priemones (UAB „Alytaus šilumos tinklai“)</t>
  </si>
  <si>
    <t>31.1.1.07.</t>
  </si>
  <si>
    <t>Privataus verslo įmonių skatinimas diegti energijos panaudojimo efektyvumo priemones (UAB „Alytaus šilumos tinklai“)</t>
  </si>
  <si>
    <t>31.1.1.08.</t>
  </si>
  <si>
    <t>UAB „Alytaus šilumos tinklai“ veiklos diversifikacija</t>
  </si>
  <si>
    <t>31.1.1.09.</t>
  </si>
  <si>
    <t>Šilumos tiekimo infrastruktūros pritaikymas prie mažėjančių energijos poreikių (UAB „Alytaus šilumos tinklai“)</t>
  </si>
  <si>
    <t>31.1.1.10.</t>
  </si>
  <si>
    <t>Atsinaujinančių energijos išteklių (saulės) panaudojimo Alytaus lopšelyje-darželyje „Pušynėlis“ projekto įgyvendinimas</t>
  </si>
  <si>
    <t>31.1.1.11.</t>
  </si>
  <si>
    <t>Atsinaujinančių energijos išteklių (saulės) panaudojimo Alytaus miesto savivaldybės administraciniame pastate Rotušės a. 4 projekto įgyvendinimas</t>
  </si>
  <si>
    <t>31.1.1.12.</t>
  </si>
  <si>
    <t>Atsinaujinančių energijos išteklių (saulės) panaudojimo Alytaus Vidzgirio progimnazijoje projekto įgyvendinimas</t>
  </si>
  <si>
    <t>31.1.1.13.</t>
  </si>
  <si>
    <t>Atsinaujinančių energijos išteklių (saulės) panaudojimo Alytaus Panemunės progimnazijoje projekto įgyvendinimas</t>
  </si>
  <si>
    <t>31.1.1.14.</t>
  </si>
  <si>
    <t>Atsinaujinančių energijos išteklių (saulės) panaudojimo Alytaus lopšelyje-darželyje „Du gaideliai“ projekto įgyvendinimas</t>
  </si>
  <si>
    <t>31.1.1.15.</t>
  </si>
  <si>
    <t>Atsinaujinančių energijos išteklių (saulės) panaudojimo Alytaus lopšelyje-darželyje „Girinukas“ projekto įgyvendinimas</t>
  </si>
  <si>
    <t>31.1.1.16.</t>
  </si>
  <si>
    <t>Atsinaujinančių energijos išteklių (saulės) panaudojimo Alytaus Dzūkijos mokykloje projekto įgyvendinimas</t>
  </si>
  <si>
    <t>31.1.1.17.</t>
  </si>
  <si>
    <t>Atsinaujinančių energijos išteklių (saulės) panaudojimo Alytaus „Vilties“ mokykloje-darželyje projekto įgyvendinimas</t>
  </si>
  <si>
    <t>31.1.1.18.</t>
  </si>
  <si>
    <t>Atsinaujinančių energijos išteklių (saulės) panaudojimo Alytaus medicininės reabilitacijos ir sporto centre projekto įgyvendinimas</t>
  </si>
  <si>
    <t>31.1.1.19.</t>
  </si>
  <si>
    <t>Atsinaujinančių energijos išteklių (saulės) panaudojimo Alytaus socialinių paslaugų centre projekto įgyvendinimas</t>
  </si>
  <si>
    <t>31.1.1.20.</t>
  </si>
  <si>
    <t>Atsinaujinančių energijos išteklių (saulės) panaudojimo Alytaus Jotvingių gimnazijoje projekto įgyvendinimas</t>
  </si>
  <si>
    <t>31.1.2.</t>
  </si>
  <si>
    <t>Palaikyti saugią ir švarią aplinką, skatinti žiedinės ekonomikos vystymąsi</t>
  </si>
  <si>
    <t>31.1.2.01.</t>
  </si>
  <si>
    <t>Taršos poveikio aplinkai mažinimas ir stebėsena</t>
  </si>
  <si>
    <t xml:space="preserve">Lėšos skiriamos vieningam klijentų aptarnavimo centrui „Mano Alytus“ aptarnauti –  45,0 tūkst. Eur (UAB ARATC 2024-10-04 raštas Nr. GD-21682) bei  miestą tvarkančių įmonių pagal sudarytas sutartis žaliosioms atliekoms sutvarkyti – 54,9 tūkst. Eur (planuojamas kiekis apie 1 100 t/m, kaina 49,88 Eur/t). </t>
  </si>
  <si>
    <t>31.1.2.02.</t>
  </si>
  <si>
    <t>Kraujasiurbių upinių mašalų populiacijos pokyčių stebėjimo ir populiacijos reguliavimo projekto įgyvendinimas (Druskininkų savivaldybė)</t>
  </si>
  <si>
    <t>31.1.2.03.</t>
  </si>
  <si>
    <t>Sosnovskio barščio naikinimo projekto įgyvendinimas</t>
  </si>
  <si>
    <t>31.1.2.04.</t>
  </si>
  <si>
    <t>Užterštos naftos bazės teritorijos Alytaus miesto savivaldybės Santaikos g. sutvarkymas</t>
  </si>
  <si>
    <t xml:space="preserve">Pagal 2022-12-12 sutartį Nr. SR-2757 už išvalytos laisvais naftos produktais užterštos Alytaus naftos produktų bazės ir jos gretimybių teritorijos Alytuje, Santaikos g. poveikio požeminiam vandeniui 2022–2026 m. monitoringo vykdymo atliktas paslaugas 2025 m. reikės apmokėti 14 521,55 Eur su PVM </t>
  </si>
  <si>
    <t>31.1.2.05.</t>
  </si>
  <si>
    <t>Aplinkos kokybės gerinimas ir visuomenės aplinkosauginis švietimas, įgyvendinant Aplinkos apsaugos rėmimo specialiąją programą</t>
  </si>
  <si>
    <t xml:space="preserve">Pagal Želdynų įstatymo 25 str. 3 dalį, želdynų ir želdinių apsaugos, priežiūros ir tvarkymo komisijos nariams už darbo laiką atliekant komisijos nario pareigas mokamas atlygis, numatytas LRV ir savivaldybių įstaigų darbuotojų darbo apmokėjimo ir komisijų narių atlygio už darbą įstatyme. Dėl minėto teisės akto nuostatų įgyvendinimo gautas Vyriausybės atstovo institucijos 2024-02-27 raštas Nr. GD-4931. Lėšos skiriamos minėtos komisijos, išskyrus savivaldybės darbuotojus, nariams.   </t>
  </si>
  <si>
    <t>31.1.2.06.</t>
  </si>
  <si>
    <t>Rūšiuojamųjų atliekų surinkimo priemonių atnaujinimas ir plėtra (ARATC)</t>
  </si>
  <si>
    <t>31.1.2.07.</t>
  </si>
  <si>
    <t>Maisto atliekų cecho ir komposto paruošimo linijos įrengimas Takniškių kompostavimo aikštelėje (ARATC)</t>
  </si>
  <si>
    <t>31.1.2.08.</t>
  </si>
  <si>
    <t>Gatvių ir viešųjų erdvių apšvietimo tinklų priežiūra</t>
  </si>
  <si>
    <t>Alytaus miesto elektra apšvietimui pagal sutartis: 400,0 tūkst. Eur; Alytaus miesto apšvietimo tinklų remontas pagal atskirą užsakymą (perdegusių šviestuvų keitimas, naujų, papildomų įrengimas, naujų spintų įrengimas, galios didinimas, sąlygų išėmimas, taip pat miesto renginių aptarnavimas, kai reikalinga elektra (pajungimas, atjungimas, priež. renginio metu) 100,0 tūkst. Eur; Alytaus miesto apšvietimo tinklų nepertraukiamos priež. ir smulkus remontas pagal sutartį  60,0 tūkst. Eur.
Iš viso: 560,0 tūkst. Eur.</t>
  </si>
  <si>
    <t>Alytaus miesto elektra apšvietimui pagal sutartis: 200,0 tūkst. Eur. Nuo sausio 1 d. gali keistis elektros kainos, kurios tikėtina vėl kils. Natrio švietuvų pakeitimas į LED pėsčiųjų takuose (kur dar liko nepakeista, taip pat  naudojant naudotus). Ramunių g., ir prie Nemuno, Studentų skvere ir Kranto g. takas, Pramoninėje zonoje Verslo kaimeliuose (Artojų ir Naujojoje g.) iš Likiškėlių g., taip pat tarp Ežerėlio ir Domantonių g., nes čia dar oronės linijos ir nebus keičiama su projektu, taip pat numatomi papildomo apšvietimo įrengimo darbai.</t>
  </si>
  <si>
    <t>31.1.2.09.</t>
  </si>
  <si>
    <t xml:space="preserve">Pagal parengtą Žaliosios g. atkūrimo (renatūralizavimo) projektą vykdomi viešieji pirkimai paslaugai įsigyti. Sudarius sutartį, darbus planuojama atlikti per 36 mėn. </t>
  </si>
  <si>
    <t>31.1.2.10.</t>
  </si>
  <si>
    <t>Gatvių ir viešųjų erdvių tvarkymas ir priežiūra</t>
  </si>
  <si>
    <t>Komunalinio ūkio išl. 948,0 tūkst. Eur (Alytaus miesto parkų, miško parkų, paplūdimių ir Nemuno pakrančių bei juose esančios infrastruktūros tvarkymo ir priež.; Alytaus miesto gėlynų, dekoratyvinių krūmų grupių ir jų prieigų priež.; Alytaus miesto fontanų eksploatacija; Medžių pjovimas,krūmų kirtimas, pažeistų žaliųjų plotų ir šaligatvių vykdant kelmų rovimo ar frezavimo darbus, atkūrimas bei medžių genėjimas; smulkūs aplinkos tvarkymo darbai ir nenumatytos išl.; Alytaus miesto kapinių ir jų prieigų tvarkymo ir priežiūros paslaugų bei laidojimo Alytaus miesto viešosiose kapinėse priežiūros paslaugų sutarčių vykdymui; Kalėdinės eglės papuošimas; vaikų žaidimo ir sporto aikštelių priež. ir remontas; viešojo tranporto keleivių laukimo paviljonų priež.); Atliekų tvarkymas ir sanitarija 1628,0 tūkst. Eur (Alytaus miesto gatvių valymas mechanizuotu būdu; žaliųjų atliekų surinkimas, išvežimas ir sutvarkymas; šiukšlių išvežimo iš bendro naudojimo teritorijų surinktų talkų metu ir po miesto renginių; Bešeimininkių ir bepriežiūrių gyvūnų priež.; Biotualetų nuoma ir aptarnavimas; Alytaus miesto zonų tvarkymas (šaligatvių, takų, aikščių, skverų bei žaliųjų plotų tvarkymas ir priež.) ; Kelių, takų šaligatvių, priež. ir remontas 543,0 tūkst. Eur (Asfaltuotų gatvių remontas; Žvyruotų g. priež. ir remontas; bendro naudojimo ir savivaldybės įstaigų šaligatvių ir takų priež. ir remontas; tiltų techninė priež.; Alytaus m. kelio ženklų, atitvarų priež., remontas bei naujų eismo reguliavimo priemonių įrengimas; Alytaus m. gatvių ir pėsčiųjų perėjų skersinis ir išilginis ženklinimas; Pralaidų, grotų, valymas, išgraužų užpylimas, liūčių padarinių šalinimas)</t>
  </si>
  <si>
    <t xml:space="preserve">Truktų minimalioms paslaugoms ir einamiesiems remontams. Nebūtų skirta planinių sporto aikštelių atnaujinimui, fontanų atnaujinimui, naujų vaikų žaidimų įrenginių nupirkimui, kapinių tvoros Užupiuose atnaujinimui. Sumažinimo atveju miesto žalieji plotai bus šienaujami 3 kartus, nebus atliekamas planinis mažosios infrastruktūros remontas, nebus laistomos žvyruotos gatvės, nebus vežami lapai iš daugiabučių teritorijų, nebus vykdoma gatvių, šaligatvių stambesni remontai, kelio ženklų atnaujinimas, paviljonų plovimas, mažinami gėlynų plotai, Skirta suma padengtų tik sutartis. </t>
  </si>
  <si>
    <t>31.1.2.11.</t>
  </si>
  <si>
    <t>Transformacinių pajėgumų energijos, maisto ir vandens srityse (TANGO-W) projekto  įgyvendinimas</t>
  </si>
  <si>
    <t>31.1.2.12.</t>
  </si>
  <si>
    <t>Projekto „Žalieji žingsniai“ įgyvendinimas</t>
  </si>
  <si>
    <t>31.1.2.13</t>
  </si>
  <si>
    <t>Viešojo transporto paslaugų valdymo technologijų modernizavimas</t>
  </si>
  <si>
    <t>ES projekto įgyvendinimas</t>
  </si>
  <si>
    <t>31.1.2.14.</t>
  </si>
  <si>
    <t>Viešojo transporto infrastruktūros modernizavimas</t>
  </si>
  <si>
    <t>31.1.2.15</t>
  </si>
  <si>
    <t>Projekto „Žaliosios infrastruktūros gerinimas pasienio regiono miestuose“ įgyvendinimas</t>
  </si>
  <si>
    <t>31.1.2.16</t>
  </si>
  <si>
    <t>Projekto „Žaliasis bendradarbiavimas“ įgyvendinimas</t>
  </si>
  <si>
    <t xml:space="preserve">31.1.2.17. </t>
  </si>
  <si>
    <t>Projekto „Vieninga elektroninio bilieto ir keleivių informavimo sistema Alytaus regiono savivaldybėse“ įgyvendinimas</t>
  </si>
  <si>
    <t>31.2.</t>
  </si>
  <si>
    <t>Tvariai ir sumaniai vystyti miesto infrastruktūrą</t>
  </si>
  <si>
    <t>31.2.1.</t>
  </si>
  <si>
    <t>Plėtoti darnią susisiekimo infrastruktūrą</t>
  </si>
  <si>
    <t>31.2.1.01.</t>
  </si>
  <si>
    <t>Ekologiškų transporto priemonių įsigijimas</t>
  </si>
  <si>
    <t>2024-05-02 CPVA raštas Dėl grąžintinų lėšų Nr. 2024-TSF/2-33 (susigrąžinamos išl. pagal UAB "ALTAS komercinis transportas" sutartį Nr. 
SR-1599(3.9E), nustatytas pažeidimas)</t>
  </si>
  <si>
    <t>31.2.1.02.</t>
  </si>
  <si>
    <t>Elektromobilių įkrovimo prieigų infrastruktūros sukūrimas ir palaikymas</t>
  </si>
  <si>
    <t>31.2.1.03.</t>
  </si>
  <si>
    <t>Viešojo transporto sistemos vystymas (prieinamumo ir pasiekiamumo didinimas)</t>
  </si>
  <si>
    <t>Dėl kuro kainų ir vidutinių atlyginimų transporto sektoriuje kilimo, ilgalaikėse sutartyse privaloma indeksuoti įkainius, todėl 1 km įkainis kils. Taip pat į šią priemonę įtraukta el. bilieto sistemos išlaikymas pagal sutartį, todėl lėšų užteks tuo atveju, jei ženkliai padidės keleivių skaičius. Viešajam transportui išleista 855,0 + el. bilieto sistemai – 185,91 Eur. (Planuojamos VT 2025 m. išl. 1 125 tūkst. Eur =  bonusai, komisiniai 275 000 Eur + subsidijos 900 000 Eur).</t>
  </si>
  <si>
    <t>Minimalims paslaugoms užtikrinti, neįvertinus 1 km  įkainių indeksavimo dėl kurių paslaugos išbrangsta vidutiniškai 100-150 tūkst. Eur per metus; subsidijoms 225,0 tūkst. Eur</t>
  </si>
  <si>
    <t>31.2.1.04.</t>
  </si>
  <si>
    <t>Darnaus judumo priemonių diegimas</t>
  </si>
  <si>
    <t>31.2.1.05.</t>
  </si>
  <si>
    <t>Susisiekimo infrastruktūros plėtra ir modernizavimas</t>
  </si>
  <si>
    <t>131,2 tūkst. Eur - Miklusėnų g. rekonstravimo užbaigimas
7,3 tūkst. Eur - Merkinės g. remontas/rekonstrukcija (atkarpa nuo Jiezno g. iki Aušrinės g.)
146,3 tūkst. Eur - Kauno g. atkarpos nuo Tvirtovės g. iki A. Jonyno g. rekonstravimas - III etapas)                       50 tūkst. Eur. Kauno g. atkarpos nuo Tvirtovės g. iki A. Jonyno g. rekonstravimas - I etapas)
186,0 tūkst. Eur - A. Juozapavičiaus tilto remontas
267,5 tūkst. Eur - A. Juozapavičiaus g. rekonstrukcija
287,0 tūkst. Eur - Putinų g. atkarpos nuo Dovainiškių g. iki Artojų g. atnaujinimas
27,5 tūkst. Eur -  Kaštonų g. rekonstravimas (projektavimas)
166,6 tūkst. Eur - Lauko g. kapitalinis remontas
276,7 tūkst. Eur - Alovės g. asfaltavimas
194,3 tūkst. Eur - Aukštakalnio g. asfaltavimas
98,3 tūkst. Eur - Technikų g. asfaltavimas
138,4 tūkst. Eur - Girakalnio g. asfaltavimas
100,8 tūkst. Eur - Užuovėjos g. asfaltavimas
49,9 tūkst. Eur - žvyruotų g. asfaltavimo projektavimas
200 tūkst. Eur - asfalto dangos atnaujinimas
8 tūkst. Eur - statybos leidimai ir užbaigimo dokumentai, laboratoriniai bandymai
517,1 tūkst. Eur - perkeliam į likučio lėšas (Merkinės g. remontas/rekonstrukcija (atkarpa nuo Jiezno g. iki Aušrinės g.)</t>
  </si>
  <si>
    <t>1200 tūkst. Eur - A. Juozapavičiaus tilto remontas; 688 tūkst. Eur - Putinų g. atk. nuo Naujosios g. iki Pramonės g. kapitalinis remontas (I et.)
315,6 tūkst. Eur - A. Juozapavičiaus g. rekonstrukcija
301,8 tūkst. Eur - Audros g. asfaltavimas 
433,2 tūkst. Eur - Gintaro g. asfaltavimas
111,1 tūkst. Eur - Kelmučių g. asfaltavimas
148,8 tūkst. Eur - Lakštingalų g. asfaltavimas
191,1 tūkst. Eur - Skalvos g. asfaltavimas
335,6 tūkst. Eur - Šaltinėlio g. asfaltavimas
42,9 tūkst. Eur - žvyruotų g. asfaltavimo projektavimas
100 tūkst. Eur - asfalto dangos atnaujinimas</t>
  </si>
  <si>
    <t>31.2.1.06.</t>
  </si>
  <si>
    <t>Infrastruktūros objektų, kuriuos iš dalies finansuoja fiziniai ar juridiniai asmenys, modernizavimas ir plėtra</t>
  </si>
  <si>
    <t>300 tūkst. Eur - aikštelių, įvažiavimo kelių, šaligatvių ir kt. susisiekimo infrastruktūros atnaujinimas, prisidedant fiziniams ir juridiniams asmenims</t>
  </si>
  <si>
    <t>31.2.1.07.</t>
  </si>
  <si>
    <t>Viešųjų erdvių standarto sukūrimas</t>
  </si>
  <si>
    <t>31.2.1.08.</t>
  </si>
  <si>
    <t>Saugių eismo priemonių Alytaus mieste diegimas (dviračių ir pėsčiųjų takų įrengimas)</t>
  </si>
  <si>
    <t>31.2.1.09.</t>
  </si>
  <si>
    <t>Saugaus eismo priemonių diegimas</t>
  </si>
  <si>
    <t>Pėsčiųjų perėjų signalinių žibintų keitimas, naujų montavimas, įskaitant jų priežiūrą/remontą. Šviesoforų programinės įrangos atnaujinimas. Eismo saugumo salelių, greičio mažinimo kalnelių įrengimui ir kt. Eismo saugumo komisijos priimtų sprendimų įgyvendinimui.</t>
  </si>
  <si>
    <t>Nebūtų vykdomi Eismo saugumo komisijos priimti sprendimai dėl eismo saugumo priemonių diegimo ir perėjų atnaujinimo.</t>
  </si>
  <si>
    <t>31.2.1.10.</t>
  </si>
  <si>
    <t>Darnaus judumo priemonių diegimas Alytaus mieste (II etapas)</t>
  </si>
  <si>
    <t>31.2.1.11.</t>
  </si>
  <si>
    <t xml:space="preserve">Alytaus dviračių ir pėsčiųjų takų plėtra </t>
  </si>
  <si>
    <t>31.2.1.12.</t>
  </si>
  <si>
    <t>Pirmojo Alytaus pramonės zonos infrastruktūros pritaikymas pasikeitusiems verslo poreikiams (MS/FZ)</t>
  </si>
  <si>
    <t>31.2.1.13</t>
  </si>
  <si>
    <t>Alytaus Vidzgirio mikrorajono viešųjų erdvių humanizavimas</t>
  </si>
  <si>
    <t>31.2.1.14</t>
  </si>
  <si>
    <t>Alytaus Sveikatos tako teritorijos ir prieigų (Kepyklos g.) atgaivinimas</t>
  </si>
  <si>
    <t>31.2.1.15</t>
  </si>
  <si>
    <t>Subalansuotos darnaus judumo sistemos plėtra</t>
  </si>
  <si>
    <t>31.2.2.</t>
  </si>
  <si>
    <t>Darniai planuoti miesto teritoriją, modernizuoti ir išplėtoti viešųjų paslaugų teikimo infrastruktūrą</t>
  </si>
  <si>
    <t>31.2.2.01.</t>
  </si>
  <si>
    <t>Nuoseklus ir strategiškas urbanistinis planavimas ir nenaudojamų teritorijų vystymas</t>
  </si>
  <si>
    <t>31.2.2.02.</t>
  </si>
  <si>
    <t>Miesto urbanistinės ir architektūrinės kokybės gerinimas</t>
  </si>
  <si>
    <t>31.2.2.03.</t>
  </si>
  <si>
    <t>Daugiabučių gyvenamųjų namų kvartalinės renovacijos įgyvendinimas</t>
  </si>
  <si>
    <t>31.2.2.04.</t>
  </si>
  <si>
    <t>Švietimo įstaigų ugdymo aplinkos modernizavimas, priežiūra ir plėtra</t>
  </si>
  <si>
    <t>50 tūkst. Eur - avariniaų gedimų švietimo įstaigose šalintimas
14,2 50 tūkst. Eur -  L-d "Obelėlė" šildymo sistemos remontas</t>
  </si>
  <si>
    <t>44 tūkst. Eur- lL-d "Saulutė", l-d "Pušynėlis", Dainavos, Šaltinių prog., Vidzgirio mokykl. smulkiems remontams
121,3 tūkst. Eur - Senamiesčio pradinės mokykl. patalpų remontui
43,3 tūkst. Eur - "Sakalėlio" pradinės mokykl. daugiafunkcinės sporto aikštelės įreng.
107,7 tūkst. Eur - A. Ramanausko-Vanago gimn.patalpų remontas
40 - Šaltinių progim. aptvėrimas</t>
  </si>
  <si>
    <t>31.2.2.05.</t>
  </si>
  <si>
    <t>Dainavos pagrindinės mokyklos Vilties g. 12, Alytuje, stadiono teritorijos su lauko aikštynais ir prieigomis rekonstravimas</t>
  </si>
  <si>
    <t>31.2.2.06.</t>
  </si>
  <si>
    <t>Modernių ir saugių Alytaus Dzūkijos pagrindinės mokyklos erdvių sukūrimas</t>
  </si>
  <si>
    <t>31.2.2.07.</t>
  </si>
  <si>
    <t>Projekto „Bendradarbiavimas – terapijos sėkmė“ Alytaus Dzūkijos mokykloje įgyvendinimas</t>
  </si>
  <si>
    <t>31.2.2.08.</t>
  </si>
  <si>
    <t>Projekto „Būk aktyvus – būsi sveikas“ II etapo įgyvendinimas</t>
  </si>
  <si>
    <t>31.2.2.09.</t>
  </si>
  <si>
    <t xml:space="preserve">Viešųjų pastatų modernizavimas </t>
  </si>
  <si>
    <t>232,4 tūkst. Eur - savivaldybės pastato apšiltinimas
55 tūkst. Eur - IV a. vestibiulio remontas
20 tūkst. Eur - kabinetų remontas</t>
  </si>
  <si>
    <t>20 tūkst. Eur - kabinetų remontas</t>
  </si>
  <si>
    <t>31.2.2.10.</t>
  </si>
  <si>
    <t>VšĮ Alytaus apskrities S. Kudirkos ligoninės pastatų Alytuje, Ligoninės g. 12, rekonstravimas</t>
  </si>
  <si>
    <t>31.2.2.11.</t>
  </si>
  <si>
    <t>Viešosios infrastruktūros, skirtos fiziniam aktyvumui ir laisvalaikiui, vystymas ir priežiūra</t>
  </si>
  <si>
    <t>210 tūkst. Eur - Sporto ir vaikų žaidimo aikštelė Kernavės g.</t>
  </si>
  <si>
    <t>31.2.2.12.</t>
  </si>
  <si>
    <t>Bendradarbiavimo – kuriant inovatyvias ir sveikas aplinkas projekto įgyvendinimas</t>
  </si>
  <si>
    <t>31.2.2.13.</t>
  </si>
  <si>
    <t>Projekto „Sportas visiems“ įgyvendinimas</t>
  </si>
  <si>
    <t>31.2.2.14.</t>
  </si>
  <si>
    <t>Paviršinių nuotekų tinklų ir sistemų vystymas (UAB „Dzūkijos vandenys“)</t>
  </si>
  <si>
    <t>31.2.2.15.</t>
  </si>
  <si>
    <t>Centralizuotos nuotekų infrastruktūros plėtra (UAB „Dzūkijos vandenys“)</t>
  </si>
  <si>
    <t>31.2.2.16.</t>
  </si>
  <si>
    <t>Vandentiekio ir nuotekų tinklų rekonstrukcija (UAB „Dzūkijos vandenys“)</t>
  </si>
  <si>
    <t>31.2.2.18.</t>
  </si>
  <si>
    <t>Savivaldybei nuosavybės teise priklausančių patalpų administravimas, priežiūra ir remontas (UAB „Alytaus butų ūkis“)</t>
  </si>
  <si>
    <t>31.2.2.19.</t>
  </si>
  <si>
    <t xml:space="preserve"> Alytaus miesto centrinės dalies viešosios infrastruktūros funkcionalumo didinimas</t>
  </si>
  <si>
    <t>31.2.2.20.</t>
  </si>
  <si>
    <t>Alytaus miesto socialinio būsto plėtra</t>
  </si>
  <si>
    <t>31.2.2.21.</t>
  </si>
  <si>
    <t>Alytaus miesto bendrojo ugdymo mokyklų švietimo bei mokymo paslaugų kokybės didinimas plėtojant tinkamą infrastruktūrą</t>
  </si>
  <si>
    <t>31.2.2.22.</t>
  </si>
  <si>
    <t>VšĮ Alytaus sporto ir rekreacijos centro teikiamų paslaugų plėtra</t>
  </si>
  <si>
    <t>31.2.2.23.</t>
  </si>
  <si>
    <t>Alytaus Jaunimo parko ir aplinkinės teritorijos pritaikymas visuomenės poreikiams</t>
  </si>
  <si>
    <t>31.2.2.24.</t>
  </si>
  <si>
    <t xml:space="preserve">Alytaus miesto ikimokyklinio ugdymo įstaigų ugdymo sąlygų gerinimas  </t>
  </si>
  <si>
    <t>31.2.2.25</t>
  </si>
  <si>
    <t>Įgyvendinti savivaldybės infrastruktūros plėtros rėmimo programą prioritetinėje teritorijoje</t>
  </si>
  <si>
    <t>31.2.2.27</t>
  </si>
  <si>
    <t>Nemuno pakrantės teritorijos funkcionalumo didinimas</t>
  </si>
  <si>
    <t>31.2.2.28</t>
  </si>
  <si>
    <t>Alytaus miesto savivaldybės Sveikatos centro infrastruktūros modernizavimas</t>
  </si>
  <si>
    <t>31.2.2.29</t>
  </si>
  <si>
    <t>Ilgalaikės priežiūros paslaugų plėtra Alytaus mieste</t>
  </si>
  <si>
    <t>31.2.2.30.</t>
  </si>
  <si>
    <t>Alytaus miesto apsaugoto būsto ir socialinių dirbtuvių paslaugų infrastruktūros plėtra</t>
  </si>
  <si>
    <t>31.2.2.31.</t>
  </si>
  <si>
    <t>Projekto „Priėmimo-skubios pagalbos, intensyviosios terapijos paslaugų modernizavimas bei krizinių pajėgumų didinimas Alytaus apskrities S. Kudirkos ligoninėje“ įgyvendinimas</t>
  </si>
  <si>
    <t>31.2.2.34</t>
  </si>
  <si>
    <t>Naujo Alytaus miesto poliklinikos pastato statybos projekto įgyvendinimas</t>
  </si>
  <si>
    <t>31.2.2.35</t>
  </si>
  <si>
    <t>Projekto „Alytaus kultūros centro pritaikymas įvairių grupių poreikiams“ įgyvendinimas</t>
  </si>
  <si>
    <t>2024 m. planas m. pradž. iš viso</t>
  </si>
  <si>
    <t>32.</t>
  </si>
  <si>
    <t>ADMINISTRAVIMO IR VIEŠŲJŲ PASLAUGŲ TEIKIMO PROGRAMA</t>
  </si>
  <si>
    <t>32.1.</t>
  </si>
  <si>
    <t>Tobulinti gyventojų poreikius atitinkančias viešąsias paslaugas</t>
  </si>
  <si>
    <t>32.1.1.</t>
  </si>
  <si>
    <t>Sudaryti aktyvios ir sveikos gyvensenos sąlygas</t>
  </si>
  <si>
    <t>32.1.1.01.</t>
  </si>
  <si>
    <t>Visuomenės sveikatos biuro veiklos organizavimas, stiprinant visuomenės sveikatą ir vykdant jos stebėseną (monitoringą)</t>
  </si>
  <si>
    <t>32.1.1.02.</t>
  </si>
  <si>
    <t>Ugdymo įstaigų mokinių ir ikimokyklinukų visuomenės sveikatos priežiūros organizavimas</t>
  </si>
  <si>
    <t>32.1.1.03.</t>
  </si>
  <si>
    <t>Visuomenės sveikatos rėmimo specialiosios programos priemonių įgyvendinimas</t>
  </si>
  <si>
    <t>32.1.1.04.</t>
  </si>
  <si>
    <t>Projekto „Mažais žingsneliais – sveikos gyvensenos link“ įgyvendinimas</t>
  </si>
  <si>
    <t>32.1.1.05.</t>
  </si>
  <si>
    <t>Visuomenės psichikos sveikatos paslaugų prieinamumo bei ankstyvojo savižudžių atpažinimo ir kompleksinės pagalbos teikimo sistemos plėtojimas</t>
  </si>
  <si>
    <t>Individualios psichologo konsultacijos (mokleiviams ir mokyklų darbuotojams) 401 x 25 Eur = 10,0 tūkst. Eur ir grupinės psichologo konsultacijos (moksleiviams ir mokyklų darbuotojams) 80 x 62 Eur = 5,0  tūkst. Eur</t>
  </si>
  <si>
    <t>32.1.1.06.</t>
  </si>
  <si>
    <t>Integruotų priklausomybės ligų gydymo paslaugų kokybės ir prieinamumo gerinimo projekto vykdymas</t>
  </si>
  <si>
    <t>32.1.1.07.</t>
  </si>
  <si>
    <t xml:space="preserve"> Sveikatos kabinetų paslaugų kokybės gerinimo projekto įgyvendinimas</t>
  </si>
  <si>
    <t>32.1.1.08.</t>
  </si>
  <si>
    <t>Kokybiškų asmens sveikatos priežiūros, sveikatinimo ir švietėjiškų paslaugų plėtojimas</t>
  </si>
  <si>
    <t>Reprodukcinės sveikatos pagridnų mokymo paslauga 69 x 105,79 Eur  = 7,3 tūkst. Eur; Vaikų kinizeterapijos paslauga 556 x 9,52 Eur  = 5,3 tūkst. Eur; tėvystės įgūdžių mokymo programa 156 x 63,12  = 9,9 tūkst. Eur; 2022-08-24 SR-1875 (nedraustiems privalomuoju sveikatos draudimu) 11,0 tūkst. Eur. Medicinos darbuotojų dienos minėjimas 3,0 tūkst. Eur premijoms, 7,0 tūkst. Eur: salės nuoma, gėlės, koncertinė programa, vaišės</t>
  </si>
  <si>
    <t>32.1.1.09.</t>
  </si>
  <si>
    <t>Asmens sveikatos priežiūros įstaigų teikiamų paslaugų kokybės ir prieinamumo gerinimas</t>
  </si>
  <si>
    <t>Lizingo paslauga branduolinis magnetinis rezinansas - 128,0 tūkst. Eur; 11 trūkstamos specialybės gydytojų finansavimas 153,0 tūkst. Eur (pasirašytos finansavimo sutartys), 16 rezidentų finansavimas 110,7 tūkst. Eur (pasirašytos finansavimo sutartys)</t>
  </si>
  <si>
    <t>32.1.1.10.</t>
  </si>
  <si>
    <t>Ambulatorinių sveikatos priežiūros paslaugų gerinimo tuberkulioze sergantiems asmenims projekto vykdymas</t>
  </si>
  <si>
    <t>32.1.1.11.</t>
  </si>
  <si>
    <t>Pasitikėjimo kabineto Alytuje projekto įgyvendinimas</t>
  </si>
  <si>
    <t>32.1.1.12.</t>
  </si>
  <si>
    <t>Asmens sveikatos priežiūros kokybės užtikrinimas</t>
  </si>
  <si>
    <t>32.1.1.13.</t>
  </si>
  <si>
    <t>Visuomenės sveikatos gerinimas</t>
  </si>
  <si>
    <t>32.1.1.15.</t>
  </si>
  <si>
    <t>Skubios pagalbos paslaugų plėtros krizinių situacijų metu projekto įgyvendinimas (VšĮ Alytaus apskrities S. Kudirkos ligoninė)</t>
  </si>
  <si>
    <t xml:space="preserve">Apyvartinių lėšų poreikis. 2025 m. pabaigoje lėšos bus grąžintos atgal į biudžetą. </t>
  </si>
  <si>
    <t>32.1.1.16.</t>
  </si>
  <si>
    <t>Projekto „Alytaus miesto savivaldybės sveikatos centro veiklos modelio diegimas“ įgyvendinimas</t>
  </si>
  <si>
    <t>32.1.1.17.</t>
  </si>
  <si>
    <t>Projekto „Sveikatos priežiūros specialistų rengimas, pritraukimas Alytaus mieste“ įgyvendinimas</t>
  </si>
  <si>
    <t>32.1.2.</t>
  </si>
  <si>
    <t>Didinti socialinės paramos tikslingumą, prieinamumą, administravimo kokybę ir efektyvumą</t>
  </si>
  <si>
    <t>32.1.2.01.</t>
  </si>
  <si>
    <t xml:space="preserve">Socialinės reabilitacijos paslaugų asmenims su negalia bendruomenėje teikimas ir materialinio nepritekliaus mažinimo programos koordinavimas </t>
  </si>
  <si>
    <t>Už kiekvieną asmenį savivaldybė moka 0,35 BSI, 0,35*70*274 (akredituotų vietų skaičius)*12 mėn. = 80,556 tūkst. Eur
2024-10-30 gauta naujas prašymas akreditacijai, akreditavus įstaigą lėšų metų eigoje pritruks (apie 14,0 tūkst.)</t>
  </si>
  <si>
    <t>32.1.2.02.</t>
  </si>
  <si>
    <t>Būsto pritaikymas asmenims su negalia</t>
  </si>
  <si>
    <t>32.1.2.03.</t>
  </si>
  <si>
    <t>Būsto pritaikymas neįgaliems vaikams</t>
  </si>
  <si>
    <t>32.1.2.04.</t>
  </si>
  <si>
    <t>Ilgalaikės socialinės globos paslaugų asmenims su negalia teikimas</t>
  </si>
  <si>
    <t>570,0 tūkst. Eur. Ilgalaikės globos paslaugos teikiamos 177 asmenims (iš jų 28 asmenys finansuojami SB lėšomis), eilėje paslaugų laukia 16 asmenų. Dienos globos paslaugos namuose teikiamos 223 asmenims, eilėje laukia 36 asmenys. Įvertinus MMA didėjimą, kad reikia didinti įkainį mažiausia 1,0 Eur (11 proc.), išl. turėtų didėti iki 45,0 tūkst. per mėn., įvertinus eiles, mažiausia 50,0 tūkst. Eur/mėn. 50*12= 600.0 tūkst. Eur. Svarbu įvertinti, kad nuo liepos 1 sumažėjo asmenų mokėjimai, tai skirtumas dengiamas savivaldybės ar valstybės biudžeto lėšomis</t>
  </si>
  <si>
    <t>32.1.2.05.</t>
  </si>
  <si>
    <t>Maitinimo, transporto, laidojimo, paramos maisto produktais ir kitų socialinių paslaugų teikimas</t>
  </si>
  <si>
    <t xml:space="preserve">Sutartys: antstolio paslaugos 0,9 tūkst. Eur (12 mėn. *72,6=871,2 Eur); maitinimo paslaugos 15,0 tūkst. Eur (3 mėnesius maitiname, nupirkta už 3,63 Eur pietūs, gauna apie 60 asmenų); transporto paslaugos asmenims su negalia 30,0 tūkst. Eur (vid. 2,5 tūkst.*12=24,0 tūkst. ), šeimos konferencijos paslaugos 4,9 tūkst. Eur (4 šeimos*35 paslaugos*35 eur), vienišų laidojimas 1,2 tūkst. Eur; Užimtumo paslaugos negalią turintiems jaunuoliams - 8,0 tūkst. Eur; paslaugos autizmo sutrikimų turintiems vaikams 16,0 tūkst. Eur Soc. darbuotojų dienos renginys 2,0 tūkst. Eur
kiti renginiai 4,0 tūkst.(asmenų su negalia dienos, autizmo dienos ir kiti renginiai, mokymai, minėjimai), lankstinukai, atvirukai ir kt. -3,0 tūkst.
</t>
  </si>
  <si>
    <t>32.1.3.</t>
  </si>
  <si>
    <t>Mažinti socialinę atskirtį</t>
  </si>
  <si>
    <t>32.1.3.01.</t>
  </si>
  <si>
    <t>Socialinių pašalpų mokėjimas nepasiturintiems asmenims</t>
  </si>
  <si>
    <t xml:space="preserve">2511,0 tūkst. Eur. Atsižvelginat į kasines išlaidas (11-01 2185,0 tūkst.) planuojama iki metų pabaigos panaudoti apie 2600,0 tūkst. Eur. Atsižvelginat į VRP didėjimą išl. pašalpoms  išaugs min. 25 proc. </t>
  </si>
  <si>
    <t>32.1.3.02.</t>
  </si>
  <si>
    <t>Vienkartinių, tikslinių, sąlyginių ir periodinių pašalpų nepasiturintiems asmenims teikimas</t>
  </si>
  <si>
    <t>2024 m. bus panaudota apie 70,0 tūkst.Eur Vidutiniškai kreipiasi apie 320 asmenų per metus, skiriant jiems minimaliai bent po 1 VRP jau išl. siekia 70,0 tūkst.Eur, o pašalpų dydis diferencijuojamas pagal pajamas. Skaičiuojant  6 tūks*12 mėn. +7 tūkst.Eur grįžusiems iš įkalinimo įstaigų =80.0 tūkst.Eur +21 proc. dėl VRP augimo = 96,8 tūkst.Eur, viso 100,0 tūkst.Eur</t>
  </si>
  <si>
    <t>32.1.3.03.</t>
  </si>
  <si>
    <t>Kompensacijų už šildymą, karštą ir geriamąjį vandenį nepasiturintiems asmenims mokėjimas</t>
  </si>
  <si>
    <t>1400,0 tūkst. Eur. Kasinės išl. 11-01 1200,0 tūkst.Eur, tikėtina iki metų pab. bus apie 1500,0 tūkst.Eur., atsiževlgiant į VRP didėjimą: Renovacijos vid. 30,0 tūkst.Eur*12 mėn. viso 360,0; Karštas vanduo – 30+21 proc. =36; Šaltas vanduo 13+21 proc. =15.0 tūkst.Eur Šiukšlės – 14,0 tūkst.Eur; Kietas kuras 210,0 tūkst. Eur.; Centralizuotas 880,0+21 proc. =1065,0 tūkst.Eur. Viso: 1700,0</t>
  </si>
  <si>
    <t>32.1.3.04.</t>
  </si>
  <si>
    <t>Paramos mirties atveju teikimas</t>
  </si>
  <si>
    <t>32.1.3.05.</t>
  </si>
  <si>
    <t>Išmokų, tikslinių ir kitų kompensacijų mokėjimas</t>
  </si>
  <si>
    <t>Transporto lengvatos</t>
  </si>
  <si>
    <t>32.1.3.06.</t>
  </si>
  <si>
    <t>Išmokų vaikams mokėjimas</t>
  </si>
  <si>
    <t>Dabar 7,7 BSI, jei BSI bus 70, tai išmoka 539,0 Eur. Planuojant, kad bus 150 asmenų*539,0 Eur= 80850 Eur = 80.0 tūkst. Eur</t>
  </si>
  <si>
    <t>32.1.3.07.</t>
  </si>
  <si>
    <t>Socialinės paramos mokiniams teikimas</t>
  </si>
  <si>
    <t>32.1.3.08.</t>
  </si>
  <si>
    <t>Nemokamas mokinių maitinimas VšĮ Alytaus šv. Benedikto gimnazijoje</t>
  </si>
  <si>
    <t>32.1.3.09.</t>
  </si>
  <si>
    <t>Alytaus profesinio rengimo centro mokinių važiavimo išlaidų kompensavimas</t>
  </si>
  <si>
    <t>Alytaus profesinio rengimo centro mokinių važiavimo išlaidoms kompensuoti</t>
  </si>
  <si>
    <t>32.1.3.10.</t>
  </si>
  <si>
    <t>Socialinės paramos (kompensacijų, socialinių ir kitų išmokų) ir socialinių paslaugų administravimas</t>
  </si>
  <si>
    <t>32.1.3.11.</t>
  </si>
  <si>
    <t>Dalyvavimas vertinant asmens savarankiškumą kasdienėje veikloje VšĮ Alytaus miesto socialinių paslaugų centre</t>
  </si>
  <si>
    <t>32.1.3.12.</t>
  </si>
  <si>
    <t xml:space="preserve">10,0 tūkst. Eur pagal Paramos būstui įsigyti ar išsinuomoti įstatymą vykdoma būsto nuoma rinkoje (sudaromos trišalės sutartys); 16,0 tūkst. Eur jaunoms šeimoms būsto įsigijimui (5 proc. nuo paimto kredito sumos, skiriama pagal poreikį, planuojama, kad pasinaudos apie 3 jaunos šeimos). </t>
  </si>
  <si>
    <t>32.1.3.13.</t>
  </si>
  <si>
    <t>Būsto nuomos ar išperkamosios būsto nuomos mokesčių dalies kompensacijų mokėjimas ir administravimas</t>
  </si>
  <si>
    <t>32.1.3.14.</t>
  </si>
  <si>
    <t>Kokybiškų socialinių paslaugų plėtra, sąlygų sudarymas socialinę riziką patyrusiam asmeniui (šeimai) ugdyti ar stiprinti gebėjimus ir galimybes spręsti savo socialines problemas, padėti įveikti socialinę atskirtį VšĮ Alytaus miesto socialinių paslaugų centre</t>
  </si>
  <si>
    <t>Darbuotojų DU, sodra, nedarbingumas 2025 m . 10 mėn. Administracija  9 et. -208,6 tūkst. Eur.;bendras skyrius 5et.-61,9 tūkst. Eur.;dienos užimtumo centras 7 et. -111,0 tūkst. Eur.;socialinės globos padalinys 11 et.-183,9 tūkst. Eur.; krizių centras 5 et. -95,3 tūkst. Eur.; vertinimo paslauga 1 et. 11,0 tūkst. Eur.; vaikų dienos centras 1,5 et. -24,6 tūkst. Eur. 34,5 lėšų skirtumo pagrindimas -  vadovaujantis Dėl lėšų paskirstymo 2024 metais savivaldybėms socialinių paslaugų įstaigose dirbančių socialinių paslaugų srities darbuotojų pareiginei algai padidinti ir socialinių paslaugų šakos kolektyvinėje sutartyje nustatytiems įsipareigojimams įgyvendinti patvirtinimo (galiojanti redakcija 2024-07-01) darbo užmokesčiui perskaičiavimo; Dėl 2025 metais taikomo minimaliojo darbo užmokesčio patvirtinta 2025 m. MMA — 1038 Eur; SOCIALINIŲ DARBUOTOJŲ IR SOCIALINIŲ PASLAUGŲ ĮSTAIGOS VADOVŲ KVALIFIKACINĖS KATEGORIJOS apmokėjimas; dėl viešosios įstaigos Alytaus miesto socialinių paslaugų centro 2024-07-31 direktoriaus įsakymu Nr. V-233 "Darbuotojų darbo apmokėjimo sistemos tvarkos aprašas" nuostatų didėjantis darbuotojų darbo stažas; Dėl Socialinių paslaugų srities darbuotojų veiklos vertinimo tvarkos aprašo kasmetinio veiklos vertinimo kintamos dalies apmokėjimui.</t>
  </si>
  <si>
    <t>32.1.3.15.</t>
  </si>
  <si>
    <t>Asmeninės pagalbos asmenim su negalia teikimas</t>
  </si>
  <si>
    <t>32.1.3.16.</t>
  </si>
  <si>
    <t>Sąlygų sudarymas kiekvienam tėvų globos netekusiam vaikui išvengti institucinės globos, augti saugioje aplinkoje, gauti į individualius poreikius orientuotas bendruomenines paslaugas, skatinti socialinius ryšius ir integraciją (Alytaus miesto šeimos centras)</t>
  </si>
  <si>
    <t>1123,3 tūkst. Eur. SUPLAN.: DU 976,6; sodra 14,3 (keitėsi direkt.atlyg., skirta kintamoji d., DU buvo skirtas finan. 11 mėn.); 10 MĖN PASKAIČ. : DU 813,8; sodra 11,90; SUPLAN. šildymas 10,5 (12 mėn. faktinės išl., skaičiuojant nuo 2023 spalio mėn.+ 10 proc.); elektra 6,3 (paskaič. pagal 2023 m. sunaud. kiekį, kWh); vanduo 3,7 (2024 m. pr. planas + 10 proc. augimas); šiukšlės 0,7 (suma nesikeitė);  10 MĖN PASKAIČ.: Šildymas 8,8; Elektra 5,3; Vanduo 3,1; Šiukšlės 0,6; darbdavio soc. Parama 17,4 (planuojams darbuotojų atleidimas) ; 07 str. 11,2 (sudaryta sutartis su Gintvile, sumažėjas finans. iš kitų savivaldybių už globojamų vaikų išlaikymą, pinigai skirti aprangai ir avalynei globotiniams, por. iš viso 14,8 likutis 3,6 padengiamas iš kt. fin. šaltinių) 06 str. 10,8 ( sudaryta sutartis su Circle K, Kautra, por.nesiskyrė nuo 2024m. ) 14 str. 6,2 ( por. sumažejo 3,8 nutraukta vieno  būsto nuomos sut. ) 02 str. 5,1 ( sudaryta sut.su Ramunėlės vaistine, padėjas por. medik. ir medic. prekių, kainų pokyč. per 2024 m. iki spalio mėn. išleista 3715,48) 15 str.0 ( iš biudžeto lėšų neplanuojama, 9,5 suma suplan. iš kt. fin šaltinių) 30 strpsn. 213,4 (132,3 sudarytos sutatrys su budinčiais globotojais dėl MMA padidėjimo, 50,3 sudarytos sutartis su nuolat. globotojais, 3,9 kitos išmokos bud. ir nuolat. globotojams, 12,4 būtini  higienos ir švaros pirkimai, 3,2 neformaliojo švietimo ir prailg. dien.grupių, darželių paslaugos, 11,3 kišenpinigiai vaikams );  11 str. 1,5 (dėl sutartinių vaikų kelionių į užsienio šalis, pas globotojus por. nesikeitė nuo 2024 m.) 16 str. 2,5 kvalifikacijos kėl. (por. nesikeitė nuo 2024 m. suplan.) 22 strpsn. 1,0 reprezentacinės išl. ir 23 str. 2,0 ( šios lėšos skirtos vykdyti kasmetinius renginius, globos centro viešinimui); 5 str. 3,0 (sumažėjas finansav. iš kitų šaltinių, periodiniai mokesčiai už paslaugas, sudarytos sut. su Telia, Bite, C-gates); 21 str. 5,3 (sumažėjas finansav. iš kitų šaltinių, mokesčiai už informacinių techn. prekes ir paslaugas ); ( PASTABA -SUPLANUOTAS ĮST. 2025 M. BIUŽETAS SKIRIASI NUO 2024 M. 186,7, NES BUVO PAPILDOMAI SKIRTOS LĖŠOS 1591, 14402, 14731) 2025 M. VISOS BIUDŽETO LĖŠOS PLANUOJ. TIK IŠ 15101</t>
  </si>
  <si>
    <t>32.1.3.18</t>
  </si>
  <si>
    <t>Pabėgėlių iš Ukrainos priėmimo ir ankstyvos integracijos projekto įgyvendinimas</t>
  </si>
  <si>
    <t>32.1.3.19</t>
  </si>
  <si>
    <t>Projekto „Užsienio kilmės Lietuvos gyventojų integracijos procesų koordinavimo plėtra Lietuvos Respublikos savivaldybėse“ įgyvendinimas</t>
  </si>
  <si>
    <t>32.1.4.</t>
  </si>
  <si>
    <t>Užtikrinti socialinių paslaugų kokybę, prieinamumą ir plėtrą</t>
  </si>
  <si>
    <t>32.1.4.01.</t>
  </si>
  <si>
    <t>Socialinių paslaugų teikimas Alytaus nakvynės namuose</t>
  </si>
  <si>
    <t xml:space="preserve">Prašomos lėšos: 10 mėn.: DU-312,0 tūkst. Eur (bus išlaikoma 14 etatų); Socialinio draudimo įm.-4,5 tūkst. Eur. Darbdavių socialinei paramai pinigais-10,5 tūkst. Eur (ligos ir išeitinėms išmokoms); 10 mėn.: Šildymui-6,8 tūkst. Eur; Elektrai-7,0 tūkst. Eur; Vandentiekiui-2,0 tūkst. Eur; Šiukšlių išvežimui-0,1 tūkst. Eur; Ryšių paslaugų įsigijimo išl.-0,4 tūkst. Eur (apmokamos Telia ryšio paslaugos); Transporto išlaikymo išl.-0,8 tūkst. Eur (apmokama automobilio remonto darbai, draudimo paslaugos ir kuras); Kvalifikacijos kėlimo išl.-2,0 tūkst. Eur; Medikamentų ir medicininių prekių bei paslaugų įsigijimo išl. -0,2 tūkst. Eur; Aprangos ir patalynės įsigijimo bei priežiūros išl. -0,1 tūks. Eur; Reprezentacinės išl.-0,1 tūkst. Eur; Informacinių technologijų prekių ir paslaugų įsigijimo išl.-0,6 tūkst. Eur; Kitų prekių ir paslaugų įsigijimo išl.-2,0 tūkst. Eur (apmokama: banko mokestis, deratizacijos darbai, Alytaus butų ūkio pastato priež. ir kitos sąnaudos, perkamos ūkinės prekės; </t>
  </si>
  <si>
    <t>32.1.4.02.</t>
  </si>
  <si>
    <t>Socialinių paslaugų teikimas VšĮ Alytaus medicininės reabilitacijos ir sporto centre</t>
  </si>
  <si>
    <t>32.1.4.03.</t>
  </si>
  <si>
    <t>Socialinių ir sociokultūrinių paslaugų teikimas VšĮ Alytaus miesto bendruomenės centre</t>
  </si>
  <si>
    <t>32.1.4.04.</t>
  </si>
  <si>
    <t>VšĮ Alytaus poliklinikos kompleksinės (integralios, ambulatorinės, socialinės) pagalbos paslaugų, orientuotų į paslaugų gavėjo poreikius, teikimo asmens namuose plėtojimas</t>
  </si>
  <si>
    <t>Planuojamas DU (18,0 tūkst.) ir sodra (0,4 tūkst. Eur) 10 mėn. . Iš savivaldybės biudžeto 1,5 etato</t>
  </si>
  <si>
    <t>32.1.4.05.</t>
  </si>
  <si>
    <t>Privataus ir viešojo sektoriaus pritraukimas teikti akredituotas socialinės globos ir priežiūros paslaugas</t>
  </si>
  <si>
    <t>750,0 tūkst. Eur. Kasinės 484,0 tūkst. +2*58,0 tūkst.= 600, 0 minimaliai iki metų galo. Didelė eilė, jei didiname įkainį 10-15 proc. (2 metus nedidinta, o 2 kartus didėjo MMA) didėja 100,0 tūkst išl.. Ir naujiems klientams, eilė -  32 gavėjai.</t>
  </si>
  <si>
    <t>32.1.4.06.</t>
  </si>
  <si>
    <t>Alytaus miesto bendruomeninių šeimos namų projekto įgyvendinimas (VšĮ Alytaus miesto bendruomenės centras)</t>
  </si>
  <si>
    <t>32.1.4.07.</t>
  </si>
  <si>
    <t>Šeimai artimos aplinkos sukūrimo Alytaus mieste projekto įgyvendinimas</t>
  </si>
  <si>
    <t>32.1.4.08.</t>
  </si>
  <si>
    <t>Supratingos pasienio bendruomenės projekto įgyvendinimas (VšĮ Alytaus miesto bendruomenės centras)</t>
  </si>
  <si>
    <t>32.1.4.09.</t>
  </si>
  <si>
    <t>Užimtumo didinimo programos įgyvendinimas</t>
  </si>
  <si>
    <t xml:space="preserve"> Lėšos skiriamos asmenų su negalia įdarbinimui 10 asmenų 6 mėn. laikotarpiui. 2022 m. įdarbinti 12, 2023-14, 2024-16 asmenų su negalia</t>
  </si>
  <si>
    <t>32.1.4.10.</t>
  </si>
  <si>
    <t>Prekybos žmonėmis, smurto artimoje aplinkoje prevencija ir pagalbos teikimas nukentėjusiems asmenims</t>
  </si>
  <si>
    <t>Savivaldybės privalo užtikrinti paslaugas/mokymus smurtaujantiems asmenims siekinat keisti jų elgesį. Planuojamas paslaugų pirkimas. Taip pat įvairios prevencinės medžiagos rengimo išl. (plakatai, lankstinukai ir pan.)</t>
  </si>
  <si>
    <t>32.1.4.11.</t>
  </si>
  <si>
    <t>Užimtumo skatinimo ir motyvavimo paslaugų nedirbantiems ir socialinę paramą gaunantiems asmenims modelio įgyvendinimo projekto įgyvendinimas</t>
  </si>
  <si>
    <t>32.1.4.12.</t>
  </si>
  <si>
    <t>Garantijų nuomininkams, iškeldintiems iš savininkams grąžintų namų, vykdymas</t>
  </si>
  <si>
    <t>2,2 paslaugoms (padengti būsto nuomos išlaidas nuomininkams 2023-08-02 sav. adm. direktoriaus šsakymu Nr. DV-654 patvirtinti nauji dvigubai didesni nuomos mokesčio dydžiai, 7 asmenims, iškeldintiems iš savininkams grąžintinų  namų.</t>
  </si>
  <si>
    <t>32.1.4.13.</t>
  </si>
  <si>
    <t>Akredituotos vaikų dienos socialinės priežiūros organizavimas, teikimas ir administravimas</t>
  </si>
  <si>
    <t>32.1.4.14.</t>
  </si>
  <si>
    <t>Tarpinstitucinio koordinatoriaus veiklos vykdymas</t>
  </si>
  <si>
    <t>32.1.4.15.</t>
  </si>
  <si>
    <t>Kompleksinių paslaugų šeimai organizavimas ir teikimas Bendruomeniniuose šeimos namuose (VšĮ Alytaus miesto bendruomenės centras</t>
  </si>
  <si>
    <t>32.1.4.16</t>
  </si>
  <si>
    <t>Socialinių dirbtuvių paslaugos teikimas VšĮ Alytaus miesto socialinių paslaugų centre įgyvendinant projektą</t>
  </si>
  <si>
    <t>Savivaldybė dalyvauja kaip partneris socialinių dirbtuvių projekte, sutartinis įsipareigojimas išlaikyti socialinį darbuotoją, individualios priežiūros darbuotoją ir kompensuoti soc. dirbtuvių išlaidas (500 Eur/mėn.)</t>
  </si>
  <si>
    <t>32.1.4.17</t>
  </si>
  <si>
    <t>Asmenų su negalia reikalų koordinatoriaus veiklos vykdymas</t>
  </si>
  <si>
    <t>32.1.4.18</t>
  </si>
  <si>
    <t>Atvejo vadybos modelio taikymas įgyvendinant projektą</t>
  </si>
  <si>
    <t>Projekto administravimo išlaidoms.</t>
  </si>
  <si>
    <t>32.1.4.19</t>
  </si>
  <si>
    <t>Projekto „Pasienio skoniai: sujungiant bendruomenes per kulinarinius mainus, kultūros festivalius ir sveikos gyvensenos iniciatyvas“ VšĮ Alytaus miesto bendruomenės centre</t>
  </si>
  <si>
    <t>Interreg projektas, 20 proc. savivaldybės lėšų prisidėjimas.</t>
  </si>
  <si>
    <t>32.1.5.</t>
  </si>
  <si>
    <t>Užtikrinti bendruomenės saugumą</t>
  </si>
  <si>
    <t>32.1.5.01.</t>
  </si>
  <si>
    <t>Saugios savivaldybės koncepcijos įgyvendinimas</t>
  </si>
  <si>
    <t>18,0 tūkst. Eur vaizdo kamerų priež.i ir remontui  
8,0 tūkst. Eur greičio matuoklio priež. ir remontas</t>
  </si>
  <si>
    <t>32.1.5.02.</t>
  </si>
  <si>
    <t>Ekstremaliųjų situacijų ir (arba) įvykių prevencija bei pasekmių likvidavimas</t>
  </si>
  <si>
    <t>Ekstremaliųjų situacijų ir (arba) įvykių prevencijai bei pasekmių likvidavimui</t>
  </si>
  <si>
    <t>32.1.5.03.</t>
  </si>
  <si>
    <t>Civilinės saugos administravimas</t>
  </si>
  <si>
    <t>32.1.5.04.</t>
  </si>
  <si>
    <t>Mobilizacijos, demobilizacijos, priimančios šalies paramos administravimas</t>
  </si>
  <si>
    <t>32.1.5.05.</t>
  </si>
  <si>
    <t>Teritorijų, kuriose būtina įgyvendinti triukšmo prevencijos ir mažinimo priemones, nustatymas ir įgyvendinimas</t>
  </si>
  <si>
    <t xml:space="preserve">5,0 triukšmo prevencijos mažinimui </t>
  </si>
  <si>
    <t>32.1.5.06</t>
  </si>
  <si>
    <t>Prevencinės programos „Saugi bendruomenė – saugus ir aš“ įgyvendinimas</t>
  </si>
  <si>
    <t xml:space="preserve">Jaunųjų policijos rėmėjų uniformų pirkimui </t>
  </si>
  <si>
    <t>32.1.5.07</t>
  </si>
  <si>
    <t>Gaisrų prevencijos Alytaus miesto savivaldybėje programos įgyvendinimas</t>
  </si>
  <si>
    <t>Gaisrų prevencijos Alytaus miesto savivaldybėje 2023-2025 metų programos įgyvendinimas (patvirtinta tarybos) įrengti VšĮ Alytaus Kultūros centre gaisrinės signalizacijos ir gesinimo sistemas</t>
  </si>
  <si>
    <t>32.2.</t>
  </si>
  <si>
    <t xml:space="preserve">Užtikrinti efektyvų viešąjį administravimą </t>
  </si>
  <si>
    <t>32.2.1.</t>
  </si>
  <si>
    <t>Didinti savivaldybės valdymo efektyvumą ir teikiamų paslaugų kokybę</t>
  </si>
  <si>
    <t>32.2.1.01.</t>
  </si>
  <si>
    <t>Savivaldybės administracijos valdymo ir administracinės naštos mažinimo priemonių įgyvendinimas</t>
  </si>
  <si>
    <t xml:space="preserve">5411,3 DU 10 mėn. 
224,6  darbdavio parama 10 mėn.
82,3 Sodra 10 mėn.   
2,0 paslaugoms (+0,6)
35,0 komandiruotėms (+3,0)
30,0 kvalifikacijai (+5,0)
10,0 ekspertų paslaugoms
12,0 draudimo paslaugoms (+2,0)
3,0 korupcijos mokymams 
4,0 asmens duomenų apsaugos sistemos priež.i
5,1 viešųjų pirkimų teisinėms konsultacijoms
12,0 pašto išlaidoms 
10,0 pagal kolektyvinę  sutartį sveikatinimui
20,0 asmenų aptarnavimo apklausai organizuoti
</t>
  </si>
  <si>
    <t>32.2.1.02.</t>
  </si>
  <si>
    <t>Savivaldybės administracijos vidaus ūkio priežiūra</t>
  </si>
  <si>
    <t>Transporto (9 automobiliai) išlaikymui 48,7 tūkst. Eur; pastato remontui pagal tech. priežiūros aktus  20,0 tūkst. Eur; komunalinės išl. 68,5 tūkst. Eur (+9 papildomai dėl Miklusėnų g. 36 archyvo) kitoms prekėms ir paslaugoms 50,0 tūkst. Eur; palūkanos 1,5 tūkst. Eur;        
1 automobilio lizingas 3,6 tūkst. Eur.</t>
  </si>
  <si>
    <t>32.2.1.03.</t>
  </si>
  <si>
    <t>Informacinės sistemos modernizavimas, priežiūra  ir plėtra savivaldybės institucijose</t>
  </si>
  <si>
    <t xml:space="preserve">12,0 tūkst. Eur ryšiams (+2,0)
1,2 tūkst. Eur remontui (+0,2)
187,9 tūkst. Eur IRT priež.i
1,0 tūkst. Eur RC duomenims
30,4 tūkst. Eur programinė įranga (licencijos: 0,4 „QPR ProcessDesigner“, 4,0 tūkst. Eur Adobe CC ir Adobe Stock,  3,0 tūkst. Eur vaizdo konferencijų sistemos licencija, 3,0 tūkst. Eur Duomenų šifravimo licencijos darbo vietoms 50 vnt., 8,0 tūkst. Eur Dviejų faktorių autentifikacijos licencijos prenumerata 1 m., 4,0 tūkst. Eur operacinių sistemų licencijos serveriams, 8,0 tūkst. Eur klientinės prieigos vartotojo (User CAL) licencijos 30 vnt.)
</t>
  </si>
  <si>
    <t>32.2.1.04.</t>
  </si>
  <si>
    <t>Paraiškų, investicijų projektų, galimybių studijų, tyrimų, analizių, planų ir kitos projektinės dokumentacijos rengimas</t>
  </si>
  <si>
    <t>32.2.1.05.</t>
  </si>
  <si>
    <t>Teikiamų paslaugų procesų tobulinimo ir asmenų aptarnavimo kokybės gerinimo Alytaus miesto savivaldybės administracijoje ir jai pavaldžiose įstaigose projekto vykdymas</t>
  </si>
  <si>
    <t>32.2.1.06.</t>
  </si>
  <si>
    <t>„TechRevolution 2.0“ projekto vykdymas</t>
  </si>
  <si>
    <t>32.2.1.07.</t>
  </si>
  <si>
    <t>Savivaldybės skolinių įsipareigojimų vykdymas</t>
  </si>
  <si>
    <t>Ilgalaikės paskolos + Snoro paskola</t>
  </si>
  <si>
    <t>32.2.1.08.</t>
  </si>
  <si>
    <t>Savivaldybės mero rezervo lėšų tikslingas panaudojimas</t>
  </si>
  <si>
    <t>Mero rezervas planuojamas 0,6 proc. nuo savarankiškų pajamų</t>
  </si>
  <si>
    <t>32.2.1.09.</t>
  </si>
  <si>
    <t>Efektyvaus turto valdymo sistemos sukūrimas ir įgyvendinimas</t>
  </si>
  <si>
    <t xml:space="preserve">5,0 tūkst. Eur ekspertų ir konsultantų paslaugoms: turto vertinimo (4,0), notaro paslaugos (1,0). (2024 m. jau panaudota 4,2). Turto vertinimo sutartis galioja iki 2025-08-31, likutis 6,4.
67,0 tūkst. Eur prekėms ir paslaugoms: nekilnojamo turto kadastro duomenų byloms sudaryti ir tikslinti kadastro duomenis 45,0 tūkst. Eur (sutartis galioja iki 2026-08-31 (apie 100 bylų)), registruoti nekilnojamojo turto nuosavybės teises 1,0 tūkst. Eur, organizuoti turto saugojimą 15,0 tūkst. Eur (sutartis galioja iki 2025-03-31 (7 objektai)), draudimą (10 polisų) ir aukcionų organizavimą (20 aukcionų) 5,0 tūkst. Eur, likvidavimą 1,0 tūkst. Eur.(2024 m. jau panaudota 39,8).
</t>
  </si>
  <si>
    <t>32.2.1.10.</t>
  </si>
  <si>
    <t>Savivaldybės įstaigų bendrųjų funkcijų centralizuotas atlikimas</t>
  </si>
  <si>
    <t xml:space="preserve">511,7 DU, + 32,6 tūkst. Eur (5,7 tūkst. Eur kintamosios išl. iki 2 proc.,  26,9 tūkst. Eur koef. padidėjimui 0,5) 7,4 Sodra; Medikamentai ir darbuotojų sveikatos tikrinimas +0,5tūkst. Eur; 0,6 ryšiams; 0,1 komandiruotėms; 0,5 remontui; 3,5 Kvalifikacija +0,9 tūkst. Eur; 4,0 komunalinės išl.; 6,3 IRT prekių ir paslaugų įsigijimas +1,3 tūkst. Eur pabrango IT specialisto paslaugos,robotuko aptarnavimo paslaugos ir planuojama įsigyti spausdintuvą; 10,0 prekės ir paslaugos
36,0 darbdavio socialinė parama +29,0 tūkst. Eur išeitinės išmokos 3 darbuotojams </t>
  </si>
  <si>
    <t>32.2.1.11.</t>
  </si>
  <si>
    <t>Savivaldybės įmonių ir įstaigų valdymo efektyvumo didinimas</t>
  </si>
  <si>
    <t>32.2.1.12.</t>
  </si>
  <si>
    <t>Apleistų pastatų ir kitų objektų stebėsena</t>
  </si>
  <si>
    <t>32.2.1.13.</t>
  </si>
  <si>
    <t>Valstybinių (valstybės perduotų savivaldybėms) funkcijų vykdymas ir administravimas</t>
  </si>
  <si>
    <t>Santuokų organizavimo paslaugoms</t>
  </si>
  <si>
    <t>32.2.1.14</t>
  </si>
  <si>
    <t>Savivaldybės tarybos veiklos užtikrinimas</t>
  </si>
  <si>
    <t>343,3 tūkst. Eur DU ; 
5,0 tūkst. Eur  Sodrai; 
10,0 tūkst. Eur komandir.
10,0 tūkst. Eur. Kvalifikacijai +6,9
5,0 tūkst. seimo nario patalpų nuomai +2,0.</t>
  </si>
  <si>
    <t>32.2.1.15</t>
  </si>
  <si>
    <t>Kontrolės ir audito tarnybos veiklos užtikrinimas</t>
  </si>
  <si>
    <t xml:space="preserve">101,7 tūkst. Eur DU +13,4
1,5 tūkst. Eur Sodra 
1,3 tūkst. Eur darbdavio soc. parama
2,8 tūkst. Eur komunalinių paslaugų įsigijimo išl.
0,7 tūkst. Eur ryšiai
2,9 tūkst. Eur transportas
0,8 tūkst. Eur komandiruotės
1,2 tūkst. Eur kvalifikacija
0,3 tūkst. Eur IRT
+0,2 tūkst. Eur reprezentacinės išl.
1,3 tūkst. Eur prekės ir paslaugos </t>
  </si>
  <si>
    <t>32.2.1.16</t>
  </si>
  <si>
    <t>Alytaus miesto kapinių skaitmeninimo ir duomenų atvėrimo gyventojams projekto įgyvendinimas</t>
  </si>
  <si>
    <t>32.2.1.17</t>
  </si>
  <si>
    <t>Projekto „Dirbtinio intelekto ir elektroninių sutikimų skaitmeninių sprendimų diegimas Alytaus regiono sveikatos priežiūros įstaigose“ įgyvendinimas</t>
  </si>
  <si>
    <t>kontrolinis</t>
  </si>
  <si>
    <t>2024 m. planas m. pr. iš viso</t>
  </si>
  <si>
    <t>SUMANIOS IR PILIETIŠKOS VISUOMENĖS UGDYMO PROGRAMA</t>
  </si>
  <si>
    <t>33.1.</t>
  </si>
  <si>
    <t>Didinti gyventojų laisvalaikio užimtumo galimybes</t>
  </si>
  <si>
    <t>33.1.1.</t>
  </si>
  <si>
    <t>Padidinti kultūros produktų įvairovę, kokybę ir prieinamumą</t>
  </si>
  <si>
    <t>33.1.1.01.</t>
  </si>
  <si>
    <t>Informacijos ir komunikacijos galimybių plėtojimas J. Kunčino viešojoje bibliotekoje</t>
  </si>
  <si>
    <t xml:space="preserve">10 MĖN. DU+SODRA -608,2 tūkst.Eur. (DU didėjimas : MMA - 4,8 , minimaliems koeficientams padidinti metams - 1,9 tūkst. Eur., kultūros darbuotojų (28 žm.) DU padidėjimas metams - 16 tūkst. Eur., ). Išeitinės ir darbdavio soc.parama-12,5 tūkst. Eur;
Komunalinės paslaugos -26,6 tūkst. Eur (šildymas- 9,2; elektra- 13,8; vanduo - 1,1; šiukšlių išvežimas- 2,5);  sutartiniai įsipareigojimai-8,0(apsauga - 0,8; šilumos s-mų priež.-0,5; pastatų ekspoatacijos išl. butų ūkiui-1,3; pastatų draudimas-1,1; kortelių skaitytuvas-0,2; banko paslagos - 0,1; ryšiai - 1,5; ilgalaikio turto nuoma-1,2; AGATA - 0,2; gesintuvų ir gaisrinės signalizacijos patikra - 0,4); Spaudinių prenumerata - 5,0;   </t>
  </si>
  <si>
    <t>33.1.1.02.</t>
  </si>
  <si>
    <t>Alytaus kraštotyros muziejaus veiklos užtikrinimas</t>
  </si>
  <si>
    <t>Du ir sodra 449,8 tūks. Eur    (padidėjo 24,5) Komunalinių paslaugų įsigijimo išl. 48,0 (padidėjo 8,7 tūkst. Eur); Ryšių palaugos 2,5 tūkst. Eur( padidėjo 0,7 tūkst. eur ). Ekspertų ir konsultantų paslaugų įsigijimo išl. padidėjo 1,0 tūkst. Eur. Darbdavių socialinė parama 9,0 Tūkst Eur ( padidėjo 7,3)Darbuotojų sveikatos tikrinimas 0,4 tūkst.Eur. Transporto išlaikymas 4,5 tūkst.Eur (padidėjo 0,5) Komandiruočių išl. 1,0 tūkst.Eur (sumažėjo 1,3 Tūkst.Eur)  Materialiojo turto remontas 10,0tūkst Eur, Kvalifikacijos kėlimas 2,0 tūkst. Eur (sumažėjo0,5 tūkst Eur. Informacinės technologijos 3,5 tūkst,eur (padidėjo 1,3 tūkst.Eur); Viešinimo išl. 2,1 tūkst. eur (padidėjo 0,1). Kitos prekės ir paslaugos 57,0 tūkst.Eur ( padidėjo 44,5 tūkst.Eur išjų 12,0 įsipareigojimai);  ilgalaikis turtas 15,0 tūkst.Eur (sumažėjo 9,7)</t>
  </si>
  <si>
    <t>33.1.1.03.</t>
  </si>
  <si>
    <t>Alytaus miesto teatro profesionaliojo meno plėtojimas</t>
  </si>
  <si>
    <t>10 mėn. DU+Sodra – 688,2 tūkst.Eur, iš jų didėjimas 40,9 tūkst.Eur: dėl MMA didėjimo – 4,1 tūkst.Eur, minimaliems koeficientams padidinti – 1,1 tūkst.Eur,  Kultūros darbuotojų DU padidėjimas 10 mėn – 18,9 tūkst.Eur (vadovaujantis LR 2025-2027 m. biudžeto patvirtinimo įstatymo projekto 5 priedu), nenumatytos biudžeto išl. darbo užmokesčiui paskaičiuoti – 16,8 tūkst.Eur; Komunaliniai – 71,2 tūkst.Eur (lyginant su 2024 m 10 mėn. sumažėjo 4,9 tūkst.Eur): šildymas – 27,4 tūkst.Eur, elektra – 38,5 tūkst.Eur, vanduo – 3,1 tūkst.Eur, šiukšlių išvežimas – 2,2 tūkst.Eur; Darbdavių socialinė parama – 17,0 tūkst.Eur (didėja 7,0 tūkst.Eur, nes yra 2 pensijinio amžiaus darbuotojai); Materialiojo turto paparastas remontas – 13,7 tūkst.Eur (didėjimas 13,7 tūkst.Eur, būtinoms išlaidoms avarinės būklės vandentiekio vamzdyno bei lietaus kanalizacijos stovų remontui)</t>
  </si>
  <si>
    <t>33.1.1.04.</t>
  </si>
  <si>
    <t>Kino meno sklaidos vykdymas „Dainavos“ kino teatre</t>
  </si>
  <si>
    <t>Prekėms ir paslaugoms po kapitalinio remonto</t>
  </si>
  <si>
    <t>33.1.1.05.</t>
  </si>
  <si>
    <t>Kultūros paslaugų  ir meno mėgėjų veiklos plėtojimas VšĮ  Alytaus kultūros centre</t>
  </si>
  <si>
    <t>DU+SODRA - 467,6  tūkst. Eur (iš jų didėjimas  MMA ir minimaliems koeficientams  - 4,5  tūkst. Eur., nenumatytiems DU pakeitimams, koeficientų pasikeitimai ir  kultūros darbuotijų DU padidėjimas  - 25,3 tūkst. Eur.) Darbdavių soc. parama –  6,0 tūkst. Eur. Komunaliniams-  69,5 tūkst. Eur (šildymas-23,0; elektra-37,7; vanduo -4,3; šiukšlių išvežimas-4,5 )</t>
  </si>
  <si>
    <t>33.1.1.07.</t>
  </si>
  <si>
    <t>Projekto „Kuriant tiltus: turizmo ir kultūros vystymas Sovetsko ir Alytaus regionuose“ įgyvendinimas Alytaus miesto teatre</t>
  </si>
  <si>
    <t>33.1.1.08.</t>
  </si>
  <si>
    <t>Projekto „Žmonių galia partnerystėje“ Alytaus miesto teatre įgyvendinimas</t>
  </si>
  <si>
    <t>33.1.1.09.</t>
  </si>
  <si>
    <t>Bendruomenės saviraiškos ir kultūrinės iniciatyvos skatinimas, bendruomenei aktualių renginių organizavimas</t>
  </si>
  <si>
    <t>Miesto šventei – 120,0 tūkst. Eur; Metų APDO – 10,0 tūkst. Eur; Eglutės įžiebimo šventei –25, 0 tūkst. Eur;  kitiems reprezentatyviems renginiams – 37,1 tūkst. Eur, (komedijų festivaliui -10,0 tūkst. Eur; Saulyno dainų festivaliui-5,0 tūkst. Eur,   senjorų naktišokiams - 9,0 tūkst. ir kt.). Eur; KuS veiklai – 48,3 tūkst. Eur (stipendijos, premijos, vasaros lauko kinas, žiemos renginiai ir kt.).  Įstaigų tekiamų projektų LKT ir RKT kofinansavimui – 68,0 tūkst. Eur: Bibliotekos 12 projektų – 20,4 tūkst. Eur , Muziejaus 5 projektų -10,3 tūkst., Teatro 3 projektų – 17, 0 tūkst. Eur, AKC 5 projektų – 21, 0 tūkst. Eur;</t>
  </si>
  <si>
    <t>33.1.1.10.</t>
  </si>
  <si>
    <t>Religinių bendruomenių rėmimas</t>
  </si>
  <si>
    <t>Religinių bendruomenių rėmimas konkurso būdu</t>
  </si>
  <si>
    <t>33.1.1.11</t>
  </si>
  <si>
    <t>Alytaus J. Kunčino bibliotekos projekto „Pasienio bendruomenių išmintis ir augimas“ įgyvendinimas</t>
  </si>
  <si>
    <t>Prekės ir pasalugos likusiai projekto veiklai įgyvendinti</t>
  </si>
  <si>
    <t>33.1.1.12</t>
  </si>
  <si>
    <t>Alytaus kraštotyros muziejaus projekto „Kelias į prisiminimų begalybę“ įgyvendinimas</t>
  </si>
  <si>
    <t xml:space="preserve">Likusioms veikloms įgyvendinti (baigiamoji konferencija ir dainuojamosios poezijos renginys) </t>
  </si>
  <si>
    <t>33.1.1.13</t>
  </si>
  <si>
    <t>Alytaus miesto teatro projekto „Pojūčių laboratorija“ įgyvendinimas</t>
  </si>
  <si>
    <t>DU+Sodra 10,0 tūkst. Eur; Ilgalaikio turto įsigijimas 12,9 tūkst. Eur; Viešinimas 3,0 tūkst.Eur; Kuro išl. 1,8 tūkst. Eur; Kitų prekių ir paslaugų įsigijimas 37,4 tūkst.Eur.</t>
  </si>
  <si>
    <t>33.1.2.</t>
  </si>
  <si>
    <t>Užtikrinti etninės kultūros, materialaus ir nematerialaus kultūros paveldo saugojimą, tvarkymą ir aktualizavimą</t>
  </si>
  <si>
    <t>33.1.2.01.</t>
  </si>
  <si>
    <t>Etninės kultūros ir nematerialaus kultūros paveldo tęstinumas, išsaugojimas bei sklaida</t>
  </si>
  <si>
    <t>Lietuvių liaudies dainų metams skirtų renginių organizavimui - 8,0 tūkst. Eur, Muziejaus teikiamų RKT 2 projektų kofinansavimui – 8,1 tūkt. Eur, AKC teikiamų  RKT 2 projektų kofinansavimui –1,5 tūkst. Eur</t>
  </si>
  <si>
    <t>33.1.2.02.</t>
  </si>
  <si>
    <t>Kultūros paveldo objektų priežiūra, tvarkymas, apskaita, populiarinimas ir sklaida</t>
  </si>
  <si>
    <t>Vienbučio gyv. namo A. Matučio g. 8, rem. darbai 43,4 tūkst. eur; Alytaus piliakanio laiptų rem. 20,0 tūkst. eur; Istorinėje I Alytaus a. esančio ekspozicinio archeologinio šurfo rem. 5,0 tūkst. eur; Kutūros paveldo objektų galimų avarijos padarinių šalinimo, priežiūros, tvarkybos, rem., projektavimo, mokslinių tyrimų  ir ženklinimo darbai 15,0 tūkst. eur; Savivaldybės saugomais paskelbtų kultūros paveldo objektų Paveldotvarkos programos darbams 30,0 tūkst. eur; 1. Bokšickių šeimos namas (u.k. KVR 41999); 2. Alytaus geležinkelio stoties siurblinė (u.k. KVR 41998); 3. Alytaus geležinkelio stoties keleivių namo dalis (u.k. KVR 41997); Alytaus sinagogos pastato ir rabino namo komplekso Rabino namo tvarkybos ir rem. darbų projekto parengimui ar esamo projekto koregamui (u.k. KVR 32381) 12,0 tūkst.eur; Nemuno gatvės grindinio rem. darbams 10,0 tūkst.eur</t>
  </si>
  <si>
    <t>33.1.3.</t>
  </si>
  <si>
    <t>Stiprinti sporto paslaugų potencialą</t>
  </si>
  <si>
    <t>33.1.3.01.</t>
  </si>
  <si>
    <t>Fizinio aktyvumo priemonių įvairovės didinimas</t>
  </si>
  <si>
    <t xml:space="preserve">Įsipareigojimai pagal TS-33,0 tūkst. Eur,  35,5 tūkst. Eur sutarčių vykdymui. </t>
  </si>
  <si>
    <t>33.1.3.02.</t>
  </si>
  <si>
    <t>Tarptautinių ir nacionalinių sporto renginių pritraukimas, organizavimas ir finansavimas</t>
  </si>
  <si>
    <t>10 tūkst. eur. - sporto projektai.</t>
  </si>
  <si>
    <t>33.1.3.03.</t>
  </si>
  <si>
    <t>Sportinės veiklos projektų finansavimas</t>
  </si>
  <si>
    <t>14,0 tūkst. eur. Neįgaliųjų sporto projektai</t>
  </si>
  <si>
    <t>33.1.3.04.</t>
  </si>
  <si>
    <t>Komandinių žaidimų aukšto sportinio meistriškumo programų dalinis finansavimas</t>
  </si>
  <si>
    <t>30 tūkst. eur. - sporto programų finansavimui.</t>
  </si>
  <si>
    <t>33.1.3.06.</t>
  </si>
  <si>
    <t>Sportinio ugdymo organizavimas VšĮ Alytaus sporto ir rekreacijos centre</t>
  </si>
  <si>
    <t xml:space="preserve">10 mėn. DU+sodra 1714,2 tūkst. Eur;  </t>
  </si>
  <si>
    <t>33.1.3.07.</t>
  </si>
  <si>
    <t>VšĮ Alytaus sporto ir rekreacijos centro sporto bazių aplinkos formavimas ir užtikrinimas</t>
  </si>
  <si>
    <t>10 mėn. DU+sodra 1094,8 tūkst. Eur; darbdavio soc. -parama-5,0 tūkst. Eur;  10 mėn. komunalinės-420,7 tūkst. Eur.</t>
  </si>
  <si>
    <t>33.1.3.08</t>
  </si>
  <si>
    <t>Projekto „Sporto pasienio regiono – sporto ir sveikos gyvensenos propagavimas pasienio regione“ įgyvendinimas (VšĮ Alytaus sporto ir rekreacijos centras)</t>
  </si>
  <si>
    <t>33.2.</t>
  </si>
  <si>
    <t>Teikti besikeičiančios visuomenės poreikius atitinkančias aukštos kokybės ugdymo paslaugas</t>
  </si>
  <si>
    <t>33.2.1.</t>
  </si>
  <si>
    <t>Užtikrinti aukštą ugdymo paslaugų kokybę</t>
  </si>
  <si>
    <t>33.2.1.01.</t>
  </si>
  <si>
    <t>Ikimokyklinio vaikų ugdymo prieinamumo užtikrinimas</t>
  </si>
  <si>
    <t>DU 10 mėn. + sodra 2457,4 tūkst. Eur; darbdavio soc. -parama-145,0 tūkst. Eur, DU 10 mėn.padidėjimas 114,7 tūkst. Eur.</t>
  </si>
  <si>
    <t>33.2.1.02.</t>
  </si>
  <si>
    <t>Ikimokyklinio vaikų ugdymo sąlygų sudarymas, ugdymo proceso organizavimo ir valdymo užtikrinimas privačiame darželyje „Vaikystės namelis“</t>
  </si>
  <si>
    <t>33.2.1.03.</t>
  </si>
  <si>
    <t>Ikimokyklinio vaikų ugdymo sąlygų sudarymas, ugdymo proceso organizavimo ir valdymo, švietimo pagalbos užtikrinimas privačiame darželyje „Būžių namelis“</t>
  </si>
  <si>
    <t>33.2.1.04.</t>
  </si>
  <si>
    <t>Priešmokyklinio ugdymo sąlygų sudarymas</t>
  </si>
  <si>
    <t>DU 10 mėn. +sodra 79,9 tūkst. Eur; darbdavio soc. -parama-2,6 tūkst. Eur, DU 10 mėn. padidėjimas 3,1 tūkst. Eur.</t>
  </si>
  <si>
    <t>33.2.1.05.</t>
  </si>
  <si>
    <t xml:space="preserve">Kokybiško bendrojo ugdymo proceso organizavimas ir valdymas </t>
  </si>
  <si>
    <t>DU 10 mėn. +sodra 682,2 tūkst. Eur; darbdavio soc. -parama-91,6 tūkst. Eur, DU 10 mėn. padidėjimas 21,1 tūkst. Eur.</t>
  </si>
  <si>
    <t>33.2.1.06.</t>
  </si>
  <si>
    <t>Kokybiško bendrojo ugdymo proceso organizavimas ir valdymas Alytaus šv. Benedikto gimnazijoje</t>
  </si>
  <si>
    <t>DU 10 mėn. +sodra 38,6 tūkst. Eur; darbdavio soc. -parama-10,0 tūkst. Eur, DU 10 mėn. padidėjimas 1,3 tūkst. Eur.</t>
  </si>
  <si>
    <t>33.2.1.07.</t>
  </si>
  <si>
    <t>Ugdymo finansavimo poreikių skirtumų tarp mokyklų sumažinimas</t>
  </si>
  <si>
    <t>33.2.1.08.</t>
  </si>
  <si>
    <t>Švietimo sistemos ir mokymo kokybės gerinimas</t>
  </si>
  <si>
    <t>33.2.1.09.</t>
  </si>
  <si>
    <t xml:space="preserve">Ikimokyklinio, priešmokyklinio ir bendrojo ugdymo aplinkos formavimas ir užtikrinimas </t>
  </si>
  <si>
    <t xml:space="preserve">DU+sodra 10 mėn. 6163,7 tūkst. Eur; darbdavio soc. -parama-340,4 tūkst. Eur, DU 10 mėn. padidėjimas 17,6 tūkst. Eur. Komunalinės  10 mėn.- 1065,0 tūkst. Eur. AMSA iš viso 117,1 : CVPMID sistemos priež. 17,1 tūkst. Eur STEAM 45,6 tūkst. Eur;  Maitinimo IS "Valga" nuoma, priež. -23,1 tūkst. Eur. IT funkcionalumo užtikrinimas, draudimas 31,3 tūkst.eur. 27,8 tūkst. eur 2.8 str. sutartys. </t>
  </si>
  <si>
    <t>33.2.1.10.</t>
  </si>
  <si>
    <t>Alytaus šv. Benedikto gimnazijos aplinkos formavimas ir užtikrinimas</t>
  </si>
  <si>
    <t>DU+Sodra 10 mėn. 405,7 tūkst. Eur; darbdavio parama 27,4 tūkst. Eur; DU 10 mėn. padidėjimas-1,3 tūkst. Eur. Komunalinės 10 mėn.- 80,7 tūkst. Eur.</t>
  </si>
  <si>
    <t>33.2.1.11.</t>
  </si>
  <si>
    <t>Neformaliojo vaikų švietimo organizavimas, administravimas ir plėtra</t>
  </si>
  <si>
    <t>33.2.1.12.</t>
  </si>
  <si>
    <t>Neformaliojo  vaikų ir suaugusiųjų švietimo finansavimas Alytaus jaunimo centre</t>
  </si>
  <si>
    <t>DU 10 mėn. +sodra 842,4 tūkst. Eur (DU padidėjimas-21,9 tūkst. Eur.); darbdavio soc. -parama-18,0 tūkst. Eur.</t>
  </si>
  <si>
    <t>33.2.1.13.</t>
  </si>
  <si>
    <t>Neformaliojo suaugusiųjų švietimo organizavimas ir koordinavimas</t>
  </si>
  <si>
    <t xml:space="preserve">DU 10 mėn. +sodra 50,7 tūkst. Eur; darbdavio soc. -parama-0,5 tūkst. Eur.; kiti sutart. įsipareigojimai-23,0 tūkst. Eur. </t>
  </si>
  <si>
    <t>33.2.1.14.</t>
  </si>
  <si>
    <t>Formaliojo švietimą papildančio ugdymo koordinavimas</t>
  </si>
  <si>
    <t>Muzika 10 mėn.-DU+Sodra 1110,8 tūkst. Eur; darbdavio parama 16,0 tūkst. Eur;DU 10 mėn. padidėjimas-30,4 tūkst. Eur. Dailė- DU+Sodra 254,0 tūkst. Eur; darbdavio parama 4,6 tūkst. Eur; DU 10 mėn. padidėjimas-6,8 tūkst. Eur.</t>
  </si>
  <si>
    <t>33.2.1.15.</t>
  </si>
  <si>
    <t xml:space="preserve">Savivaldybės neformaliojo švietimo įstaigų aplinkos formavimas ir užtikrinimas </t>
  </si>
  <si>
    <t>Muzika-DU 10 mėn.+Sodra 112,0 tūkst. Eur; darbdavio parama 3,0 tūkst. Eur; Dailė- DU+Sodra 73,9 tūkst. Eur; darbdavio parama 1,2 tūkst. Eur; Komunalinės 10 mėn. Dailė -5,4  tūkst. Eur.</t>
  </si>
  <si>
    <t>33.2.1.16.</t>
  </si>
  <si>
    <t>Alytaus jaunimo centro aplinkos formavimas ir užtikrinimas</t>
  </si>
  <si>
    <t>10 mėn. DU+Sodra 184,9 tūkst. Eur; darbdavio parama 6,1 tūkst. Eur</t>
  </si>
  <si>
    <t>33.2.1.17.</t>
  </si>
  <si>
    <t>Kauno taikomosios dailės mokyklos Alytaus filialo aplinkos formavimas ir užtikrinimas</t>
  </si>
  <si>
    <t xml:space="preserve">10 mėn. DU+Sodra 71,1. Komunalinės 10 mėn.-15,8 tūkst. Eur.   </t>
  </si>
  <si>
    <t>33.2.1.18.</t>
  </si>
  <si>
    <t>Ugdymo(si) aplinkos ir turinio diegiant technologines inovacijas visose ugdymo pakopose gerinimas</t>
  </si>
  <si>
    <t xml:space="preserve">Likiškėliai 10 mėn. (DU 13,3 tūkst. Eur Darb.parama 0,2 tūkst. Eur) 
FAB LAB 10 mėn.  DU ir sodra 5,9 tūkst. Eur;  
AVEA  10 mėn. DU 4,5 tūkst. Eur. </t>
  </si>
  <si>
    <t>33.2.1.19.</t>
  </si>
  <si>
    <t>Sveikos, saugios ir psichikos sveikatai palankios ugdymo aplinkos formavimas ir užtikrinimas</t>
  </si>
  <si>
    <t>PPT 10 mėn. DU+sodra 72,5 tūkst.eur; darbdavio parama 13,0 tūkst. Eur; 10 mėn. Komunalinės 6,2; Projektai 74,4 tūkst. Eur : Saulutė-2,4;  Šaltinėlis-6,9; Du gaideliai-3,8; Putinėlis-5,6; Girinukas-4,5; Senamiesčio pradinė-4,6; Šaltinių-5,4; Vidzgirio-12,0; Panemunės-15,0; Jotvingių-14,2. Soc. Remiamų vaikų stovyklos 10 tūkst. eur.Apolė- 20 tūkst. eur. Mokinių žaidynės 18,0 tūkst. eur. Sutartiniai įsipareigojimai -5,0 tūkst. Eur.</t>
  </si>
  <si>
    <t>33.2.1.20.</t>
  </si>
  <si>
    <t>Švietimo pagalbos ugdymo įstaigose organizavimas</t>
  </si>
  <si>
    <t>DU 10 mėn. +sodra 1491,3 tūkst. Eur; darbdavio soc. -parama-63,8 tūkst. Eur.DU 10 mėn. padidėjimas-26,4 tūkst. Eur.</t>
  </si>
  <si>
    <t>33.2.1.21.</t>
  </si>
  <si>
    <t>Švietimo pagalbos šv. Benedikto gimnazijoje organizavimas</t>
  </si>
  <si>
    <t>33.2.1.22.</t>
  </si>
  <si>
    <t>Mokinių ugdymosi pasiekimų gerinimo diegiant kokybės krepšelį projekto įgyvendinimas (Alytaus Adolfo Ramanausko-Vanago gimnazija)</t>
  </si>
  <si>
    <t>33.2.1.23.</t>
  </si>
  <si>
    <t>Socialinės ir emocinės kompetencijos ugdymas Alytaus miesto savivaldybės bendrojo ugdymo mokyklose</t>
  </si>
  <si>
    <t>33.2.1.24</t>
  </si>
  <si>
    <t>Karjeros specialistų tinklo vystymo projekto įgyvendinimas</t>
  </si>
  <si>
    <t>33.2.1.25</t>
  </si>
  <si>
    <t>Projekto „Tūkstantmečio mokyklos II“ įgyvendinimas</t>
  </si>
  <si>
    <t>33.2.1.26</t>
  </si>
  <si>
    <t>Projekto „Alytaus regiono savivaldybių švietimo sistemos skaitmeniniai sprendimai“ įgyvendinimas</t>
  </si>
  <si>
    <t>33.2.1.27</t>
  </si>
  <si>
    <t>Projekto „Ugdymo priemonės mokykloms“ įgyvendinimas</t>
  </si>
  <si>
    <t>33.2.1.28</t>
  </si>
  <si>
    <t>Projekto „Švietimo pagalbos ir koordinuotai teikiamų paslaugų užtikrinimas“ įgyvendinimas</t>
  </si>
  <si>
    <t>33.2.1.29</t>
  </si>
  <si>
    <t>Projekto „Visiems prieinamo ankstyvojo ugdymo užtikrinimas“ įgyvendinimas</t>
  </si>
  <si>
    <t>33.2.1.30</t>
  </si>
  <si>
    <t>Projekto „Visos dienos mokyklos paslaugų prieinamumo didinimas“ įgyvendinimas</t>
  </si>
  <si>
    <t>33.2.2.</t>
  </si>
  <si>
    <t>Skatinti bendruomeniškumą ir bendrystę</t>
  </si>
  <si>
    <t>33.2.2.01.</t>
  </si>
  <si>
    <t xml:space="preserve">Švietimo bendruomenės telkimas ir veiklos organizavimas </t>
  </si>
  <si>
    <t xml:space="preserve">Transportas 25,0 tūkst. Eur - 2024 m. iš viso pavežėjimų į olimpiadas, konkursus 69 kartai.Tarptautinės mokytojų dienos paminėjimas 28,7 tūkst. Eur:  21,8 tūkst. - Mokytojų premijos 7*3*1038=27198,00 (2025 m. dėl MMA -1038 Eur); 6,9 tūkst. Eur - Plunksnos (100 eurx 7=700); šimtukininkus paruošusiems mokytojams apdovanojimai 1200,0 Tūkst. Eur , padėkos, dovanėlės (1300 Eur). Renginys-4,0  tūkst. Eur. Metodinė diena - 3,0 tūkst. Eur. Mokinių ir juos parengusių mokytojų pagerbimo šventė už „Alytaus vardo garsinimą“ mokslo, meno, sporto srityje - 6,0 tūkst. Eur : 180 Taurių pagerbti mokytojams; 1500 medalių neformalaus ugdymo (Jaunimo centras, Muzikos mokykla), bendrojo ugdymo mokyklų mokiniai, kurie pasiekė aukštų rezultatų meninėje ir dalykinėje srityse (čia būtų skaičuojami ikimokyklinis, pradinis ir kt. ugdymas). Draugų pasaulis-4,0 tūkst. Eur. Šimtukus gavusių mokinių ir mokinių tėvų ir juos parengusių mokytojų pagerbimo šventė - 10,0 tūkst. Eur (už šimtuką po 100 eurų). Švietimo biudžetinių ir VšĮ vadovų, mokytojų ir specialistų šventinė sueiga, konferencija, forumas 5,0 tūkst. Eur. Sportinėms mokinių varžyboms taurės,  medaliai -  5,0 tūkst. Eur.  Olimpiadų, konkursų nugalėtojų apdovanojimai, gėlės, kanceliarinės - 11,0 tūkst. Eur ( Sveikinimui mokytojo dienos proga, išleidžiant į pensiją vadovus, pristatant darbe naujus vadovus, sveikinimams mokytojams garsinantiems Alytaus miesto vardą). Padėkos -3,0 tūkst. Eur, parengtos  ir skirtos vedėjo įsakymu mokiniams, mokytojams, vadovams (mokytojams už ilgametį darbą, pasiektus  puikius mokinių rezultatus, dalyvavimą olimpiadose, konkursuose ir užėmusiems prizines vietas (I-III vietos). </t>
  </si>
  <si>
    <t>33.2.2.02.</t>
  </si>
  <si>
    <t>Jaunimo iniciatyvos skatinimas</t>
  </si>
  <si>
    <t>Jaunimo savanoriška tarnyba- 8,0 tūkst. Eur (SADM 2018-06-22 įsakymas Nr. A1-317); Jaunimo vasaros akademijos startinis mokestis- 0,6 tūkst. Eur; Transporto paslauga- 3,0 tūkst. Eur; Jaunimo iniciatyvos-9,6 tūkst. Eur; premijos-6,0 tūkst. Eur. Nenusimatoma pinigų mokymams, todėl planuojama mažiau nei 2024 m.</t>
  </si>
  <si>
    <t>33.2.2.03.</t>
  </si>
  <si>
    <t>Jaunimo politikos įgyvendinimas</t>
  </si>
  <si>
    <t>33.2.2.04</t>
  </si>
  <si>
    <t>Vaikų ir jaunuolių pilietinio sąmoningumo skatinimas ir įtrauktis (savivaldybės finansuojamo dalyvaujamojo biudžeto modelio taikymo ir kt.)</t>
  </si>
  <si>
    <t xml:space="preserve">Alytaus miesto savivaldybės 2023-09-28  tarybos sprendimas Nr. T-266 „Dėl Alytaus miesto savivaldybės mokinių dalyvaujamo biudžeto iniciatyvos atrankos ir finansavimo tvarkos aprašo patvirtinimo“, kuriame numatyta suma 6,0 tūkst. Eur            </t>
  </si>
  <si>
    <t>33.2.2.05.</t>
  </si>
  <si>
    <t>Projektinės iniciatyvos „Tau Alytau“ projektų finansavimas</t>
  </si>
  <si>
    <t xml:space="preserve">Projektinių iniciatyvų įgyvendinimas. 
</t>
  </si>
  <si>
    <t>33.2.2.06.</t>
  </si>
  <si>
    <t>Alytaus miesto vietos plėtros strategijos įgyvendinimas</t>
  </si>
  <si>
    <t>2023-11-07 tarybos sprendimas Nr. T-302, kuriuo numatytas ne mažesnis kaip 15,01 proc. savivaldybės lėšų prisidėjimas vietos plėtros strategijos veiksmams įgyvendinti. Tikėtina, kad projektų finansavimo sutartys bus pasirašytos 2025 m. II ketvirčio pabaigoje</t>
  </si>
  <si>
    <t>33.2.2.08.</t>
  </si>
  <si>
    <t>Profesinio orientavimo ir verslumo skatinimas organizuojant mokymus, verslo pradžios rėmimą</t>
  </si>
  <si>
    <t>7 tūkst. Eur (edukacinio informacinio paketo parengimas, stendų nuoma, maitinimas, lektoriai, renginio vedėjas, teatro erdvių panauda, kt.) Dzūkijos regiono jaunųjų bendrovių expo 2025 (org. Jotvingių gimnazija). Renginyje dalyvaus 30-40 jaunųjų bendrovių iš viso regiono (Alytaus m., Alytaus r., Lazdijai, Druskininkai, Varėna), bus svečių iš užsienio. 5 tūkst. Eur (lektorių paslaugos, lankymasis aukštosiose mokyklose atvirų durų dienomis) Jaunojo pedagogo klubo (JPK) veiklai (lokacinė vieta-Putinų gimnazija).</t>
  </si>
  <si>
    <t>33.2.2.09.</t>
  </si>
  <si>
    <t>Savivald. bendruomeninės veiklos rėmimas ir skatinimas</t>
  </si>
  <si>
    <t>Savivald. bendruomeninės veiklos stiprinimas kuriant palankią daugiakultūrę aplinką</t>
  </si>
  <si>
    <t>33.2.3.</t>
  </si>
  <si>
    <t>Stiprinti vietos savivaldą</t>
  </si>
  <si>
    <t>33.2.3.01.</t>
  </si>
  <si>
    <t>33.2.3.02.</t>
  </si>
  <si>
    <t>Tarybos ir mero sekretoriato veiklos užtikrinimas</t>
  </si>
  <si>
    <t>33.2.3.03.</t>
  </si>
  <si>
    <t>33.2.3.04.</t>
  </si>
  <si>
    <t>Bendruomenės iniciatyvos, skirtos gyvenamajai aplinkai gerinti, įgyvendinimas</t>
  </si>
  <si>
    <t xml:space="preserve">Vadovaujantis AMS tarybos 2018-04-19 sprendimu Nr. T-89 patvirtintu Bendruomenės iniciatyvų, skirtų gyvenamajai aplinkai gerinti, projektų idėjų atrankos ir finansavimo tvarkos aprašu, kiekvienais metais miesto gyventojai teikia viešosios infrastruktūros (išskyrus gatvių/kelių, šaligatvių, pėsčiųjų, dviračių takų įrengimą, rekonstrukciją ir remontą) nekomercinius projektus, skirtus gerinti gyvenamąją aplinką. Mažos apimtiems projektams įgyvendinti savivaldybės taryba kasmet skiria iki 25 tūkst. eurų, o didelės apimties iki 150 tūkst. </t>
  </si>
  <si>
    <t>33.2.3.05.</t>
  </si>
  <si>
    <t>Žmogaus teisių, siekiant užtikrinti asmenų lygybę, lygias galimybes ir nediskriminavimą, įgyvendinimas</t>
  </si>
  <si>
    <t>Savivaldybės strateginiuose planuose turi būti priemonės susijusios su lygiomis galimybėmis, lėšos planuojamos rengianimas skirtiems didinti žinias apie asmenų lygybę ir žmonių teises</t>
  </si>
  <si>
    <t>33.2.3.06.</t>
  </si>
  <si>
    <t>Seniūnaitijų iniciatyvos įgyvendinimas</t>
  </si>
  <si>
    <t>Seniūnaičių veiklos išlaidoms (14*70 Eur*12 mėn.)</t>
  </si>
  <si>
    <t>33.3.</t>
  </si>
  <si>
    <t>Didinti miesto investicinį patrauklumą, skatinti verslo plėtrą ir tarptautinį bendradarbiavimą</t>
  </si>
  <si>
    <t>33.3.1.</t>
  </si>
  <si>
    <t>Sudaryti sąlygas gyventojų saviraiškai ir verslumui augti</t>
  </si>
  <si>
    <t>33.3.1.01.</t>
  </si>
  <si>
    <t xml:space="preserve">Verslui teikiamų viešųjų informavimo, konsultavimo ir finansinės paramos paslaugų plėtimas, verslumo ugdymas </t>
  </si>
  <si>
    <t>Priemonė skirta smulkaus ir vidutinio verslo skatinimui pagal 2024-02-24 tvarkos aprašą T-38.</t>
  </si>
  <si>
    <t>33.3.1.02.</t>
  </si>
  <si>
    <t xml:space="preserve">Investicinės aplinkos gerinimas, siūlant verslui naujas, patrauklias teritorijas ir lengvatas </t>
  </si>
  <si>
    <t>Pagal 2019-12-18 tvarkos aprašą T-400, investuotojui skyriamas kompensavimas už žemės sklypo sutvarkymo darbus, aprašo 19 - 23.6 punktai. Dėl kompensavimo gali kreiptis Kauno grūdai ~150.000Eur, Textera ~30.000Eur., Maristika~ 60.000 Eur, Glasstech ~30.000Eur., Dzūkijos investicijos ~30.000Eur.</t>
  </si>
  <si>
    <t>33.3.1.03.</t>
  </si>
  <si>
    <t>Mieste veikiančių verslo įmonių aptarnavimo tobulinimas</t>
  </si>
  <si>
    <t>Verslo forumas, verslo vakarienė. ~20.000 Eur. Verslo mokymų ciklas pradedantiems, esamies verslams apie verslo kurimą ir augimą ~10.000Eur. Registro centro paslaugos pirkimas dėl verslo duomenų bazės ~20.000Eur.</t>
  </si>
  <si>
    <t>33.3.1.04.</t>
  </si>
  <si>
    <t>Verslo plėtros skatinimas</t>
  </si>
  <si>
    <t>33.3.1.05.</t>
  </si>
  <si>
    <t>Alytaus pramonės parko funkcionalumo didinimas</t>
  </si>
  <si>
    <t>33.3.1.06.</t>
  </si>
  <si>
    <t xml:space="preserve">Alytaus A. Jonyno ir Audėjų gatvių pramoninės-komercinės zonos verslui palankios infrastruktūros kūrimas   </t>
  </si>
  <si>
    <t>33.3.1.07.</t>
  </si>
  <si>
    <t xml:space="preserve"> Alytaus Kalniškės gatvės sklypų inžinerinės infrastruktūros sutvarkymas</t>
  </si>
  <si>
    <t>33.3.1.08.</t>
  </si>
  <si>
    <t>Alytaus pramoninių ir komercinių teritorijų, skirtų investicijoms pritraukti, plėtra</t>
  </si>
  <si>
    <t>33.3.1.09</t>
  </si>
  <si>
    <t>URBACT projekto „City4talent“ įgyvendinimas</t>
  </si>
  <si>
    <t>33.3.1.10</t>
  </si>
  <si>
    <t>Projekto „Ateities STEAM miestai“ įgyvendinimas</t>
  </si>
  <si>
    <t>33.3.2.</t>
  </si>
  <si>
    <t>Padidinti miesto žinomumą ir turistinį patrauklumą</t>
  </si>
  <si>
    <t>33.3.2.01.</t>
  </si>
  <si>
    <t>VšĮ Alytaus turizmo informacijos centro paslaugų plėtra</t>
  </si>
  <si>
    <t>DU 46,0 tūkst. Eur  (10 mėn. ); SODRA 0,9 tūkst. Eur (10 mėn.);  Ryšių paslaugos 0,7 tūkst. Eur; Komandiruotės 0,4 tūkst. Eur;  Komunalinės paslaugos 3,0 tūkst. Eur (10 mėn.); Kompiuterių priež. 0,2 tūkst. Eur; Kitos prekės ir paslaugos  6,2 tūkst. Eur : iš jų Apsauga 0,5 tūkst. Eur; Eksploatacinės išl. 0,9 tūkst. Eur; Banko paslaugos 0,2 tūkst. Eur; Draudimas, registrų centro ir kt. paslaugos 0,4 tūkst. Eur; Buhalterinės programos priež. 0,7 tūkst. Eur; Rinkodaros išl. 3,5 tūkst. Eur.</t>
  </si>
  <si>
    <t>33.3.2.03.</t>
  </si>
  <si>
    <t xml:space="preserve">Mažosios architektūros vystymas ir išnaudojimas miesto patrauklumui didinti </t>
  </si>
  <si>
    <t>33.3.2.04.</t>
  </si>
  <si>
    <t>Miesto įvaizdžio formavimo ir komunikacijos strategijos sukūrimas ir įgyvendinimas</t>
  </si>
  <si>
    <t xml:space="preserve">Narysčių mokesčiai 50,7 (narysčių kaina išaugs +4,2)                                             Miesto šventės viešinimo įgyvendinimas 12,0                                            Reprezentacinės išl. 3,0                                                                                 Užsienio svečių maitinimas 8,0                                                                             Informacijos viešinimas žiniasklaidos priemonėse 23,0                                                Užsienio svečių apgyvendinimas 12,0                                                                Maketavimo paslaugos 12,0                                                                                       Mero ataskaitos maketavimas ir spauda 8,0                                                             Filmavimo, montavimo, kompiuterinės grafikos paslaugos 5,0                                                                                               Informacinių stendų gamyba 5,0  Informacinių tentų, leidinių, informacinių pranešimų, skrajučių spaudos paslaugos 8,0                                                                             Metų apdovanojimų, Verslo forumo, Kalėdų eglės įžiebimo ir kitų renginių viešinimo įgyvendinimas 8,0                                                                                                                                                                                        Komunikacijos kampanija investuotojų pritraukimui 15,0 (siekiant pritraukti investuotojus, planuojama vykdyti komunikacijos kampaniją +15); Kitos prekės ir paslaugos 9,5 </t>
  </si>
  <si>
    <t>33.3.2.05.</t>
  </si>
  <si>
    <t>Projekto „Alytus – Lietuvos kultūros sostinė 2022. Kuriantys tiltus“  programos įgyvendinimas</t>
  </si>
  <si>
    <t>33.3.2.06.</t>
  </si>
  <si>
    <t>Turizmo rinkodaros įgyvendinimas</t>
  </si>
  <si>
    <t>33.3.2.07.</t>
  </si>
  <si>
    <t>Projekto „Baltijos jūros regiono kultūros perlai atsparesniems miestams ir regionams“ įgyvendinimas</t>
  </si>
  <si>
    <t>Iš viso</t>
  </si>
  <si>
    <t>2025 m. projektas</t>
  </si>
  <si>
    <t>Programos kodas</t>
  </si>
  <si>
    <t>Žaliosios infrastruktūros elementų planavimas ir reguliavimas</t>
  </si>
  <si>
    <t xml:space="preserve">Mažinti poveikį klimato kaitai ir prisitaikyti prie jos </t>
  </si>
  <si>
    <t>Didinti energijos suvartojimo efektyvumą, padidinti žaliosios energijos gamybą mieste</t>
  </si>
  <si>
    <r>
      <t xml:space="preserve">Nuo skiriamo valstybės biudžeto finansavimo savivaldybė turi prisidėti ne mažiau kaip 40 proc., taip pat valstybės lėšos vienam būstui negali viršyti nustatytos sumos, todėl kai kuriais atvejais yra reikalingas didesnis prisidėjimas savivaldybės lėšomis.  2024-10-31 dienos duomenimis, jei visi planuoti atlikti pritaikymai 2024 m. būtų atlikti eilėje liktų laukti </t>
    </r>
    <r>
      <rPr>
        <sz val="12"/>
        <color rgb="FFFF0000"/>
        <rFont val="Times New Roman"/>
        <family val="1"/>
        <charset val="186"/>
      </rPr>
      <t>53</t>
    </r>
    <r>
      <rPr>
        <sz val="12"/>
        <color theme="1"/>
        <rFont val="Times New Roman"/>
        <family val="1"/>
        <charset val="186"/>
      </rPr>
      <t xml:space="preserve"> asmenys. </t>
    </r>
  </si>
  <si>
    <r>
      <rPr>
        <b/>
        <sz val="12"/>
        <rFont val="Times New Roman"/>
        <family val="1"/>
        <charset val="186"/>
      </rPr>
      <t xml:space="preserve">400,0 tūkst. Eur. </t>
    </r>
    <r>
      <rPr>
        <sz val="12"/>
        <rFont val="Times New Roman"/>
        <family val="1"/>
        <charset val="186"/>
      </rPr>
      <t xml:space="preserve">Metų pradžioje skirtos lėšos 36,6 tūkst. Eur. Dėl koeficientų didėjimo 2025 metais ir MMA didėjimo taikytino 2025 metais, DU lyginant su 2024 metais padidėjo 66,9 tūkst. Eur. Taip pat paskaičiuota kintamoji dalis 1% nuo DU fondo, kas sudaro 4,4 tūkst. Eur. Dėl MMA DU ir Sodra padidėjo 3,8  tūkst. Eur., dėl koeficientų didėjimo 40,3 tūkst. Eur. DU ir sodros poreikis 10 mėn. </t>
    </r>
  </si>
  <si>
    <r>
      <rPr>
        <b/>
        <sz val="12"/>
        <color theme="1"/>
        <rFont val="Times New Roman"/>
        <family val="1"/>
        <charset val="186"/>
      </rPr>
      <t>205,1 tūkst. Eur.</t>
    </r>
    <r>
      <rPr>
        <sz val="12"/>
        <color theme="1"/>
        <rFont val="Times New Roman"/>
        <family val="1"/>
        <charset val="186"/>
      </rPr>
      <t xml:space="preserve"> DU+sodra - 196,7 tūkst. Eur (didėjimas 44 tūkst.: minimaliems koeficientams padidinti metams - 4,2; nenumatytos biudžeto išl. darbo užmokesčiui paskaičiuoti - 3,9; dėl soc. darbuotojų DU koeficientų didėjimo - 15,7; trūkstamos lėšos VDC darbuotojų DU - 20,2); komunaliniai 39,5 (šildymas - 21; elektra - 7,5; vanduo 4; šiukšlių išvežimas - 7), didėja 6,5 tūkst.dėl kainų pasikeitimo); ryšių įrang. ir ryšių pasl.0,1; transporto išl. 0,9 (didėja - 0,7 dėl paslaugų kainų kilimo); kvalifikacijos kėl. 0,2; informac.technol. 0,2; kitų prekių ir pasl.7,6 (didėja - 2,6 dėl paslaugų kainų kilimo); darbd. soc.parama 0,8 (didėja - 0,4 dėl MMA ir koeficientų didėjimo). Lėšos skaičiuojamos 10 mėn. (DU+sodra +komunalinės)</t>
    </r>
  </si>
  <si>
    <r>
      <t xml:space="preserve">Jei BSI 70, tai 1,7 BSI =119.0 Eur *45 vaikų *12= 64,26 tūkst. Eur
Jei BSI 70, tai 0.8 BSI =56.0 Eur*100 vaikų*12= 67,2 tūkst. Eur. </t>
    </r>
    <r>
      <rPr>
        <b/>
        <sz val="12"/>
        <color theme="1"/>
        <rFont val="Times New Roman"/>
        <family val="1"/>
        <charset val="186"/>
      </rPr>
      <t>Iš viso 131.5 tūkst. Eur.</t>
    </r>
  </si>
  <si>
    <r>
      <t xml:space="preserve">Planuojamiems vykdyti projektams teikiami projektų įgyvendinimo planai, projektiniai pasiūlymai, paraiškos ES finansavimui gauti ir rengiami investicijų projektai su sąnaudų ir naudos analize bei rengiama kita projektinė dokumentacija. </t>
    </r>
    <r>
      <rPr>
        <b/>
        <sz val="12"/>
        <rFont val="Times New Roman"/>
        <family val="1"/>
        <charset val="186"/>
      </rPr>
      <t>1</t>
    </r>
    <r>
      <rPr>
        <sz val="12"/>
        <rFont val="Times New Roman"/>
        <family val="1"/>
        <charset val="186"/>
      </rPr>
      <t xml:space="preserve"> IP kaina 5 tūkst eur., planuojama įsigyti 8 vnt. 1. Alytaus miesto socialinio būsto plėtra </t>
    </r>
    <r>
      <rPr>
        <b/>
        <sz val="12"/>
        <rFont val="Times New Roman"/>
        <family val="1"/>
        <charset val="186"/>
      </rPr>
      <t>2.</t>
    </r>
    <r>
      <rPr>
        <sz val="12"/>
        <rFont val="Times New Roman"/>
        <family val="1"/>
        <charset val="186"/>
      </rPr>
      <t xml:space="preserve"> Alytaus miesto apsaugoto būsto ir socialinių dirbtuvių paslaugų infrastruktūros plėtros</t>
    </r>
    <r>
      <rPr>
        <b/>
        <sz val="12"/>
        <rFont val="Times New Roman"/>
        <family val="1"/>
        <charset val="186"/>
      </rPr>
      <t xml:space="preserve"> 3.</t>
    </r>
    <r>
      <rPr>
        <sz val="12"/>
        <rFont val="Times New Roman"/>
        <family val="1"/>
        <charset val="186"/>
      </rPr>
      <t xml:space="preserve"> Subalansuotos darnaus judumo sistemos plėtra </t>
    </r>
    <r>
      <rPr>
        <b/>
        <sz val="12"/>
        <rFont val="Times New Roman"/>
        <family val="1"/>
        <charset val="186"/>
      </rPr>
      <t>4.</t>
    </r>
    <r>
      <rPr>
        <sz val="12"/>
        <rFont val="Times New Roman"/>
        <family val="1"/>
        <charset val="186"/>
      </rPr>
      <t xml:space="preserve"> Alytaus dviračių ir pėsčiųjų takų plėtra 5. Alytaus miesto centrinės dalies viešosios infrastruktūros funkcionalumo didinimas
</t>
    </r>
    <r>
      <rPr>
        <b/>
        <sz val="12"/>
        <rFont val="Times New Roman"/>
        <family val="1"/>
        <charset val="186"/>
      </rPr>
      <t>6.</t>
    </r>
    <r>
      <rPr>
        <sz val="12"/>
        <rFont val="Times New Roman"/>
        <family val="1"/>
        <charset val="186"/>
      </rPr>
      <t xml:space="preserve"> Viešojo transporto paslaugų valdymo technologijų modernizavimas
</t>
    </r>
    <r>
      <rPr>
        <b/>
        <sz val="12"/>
        <rFont val="Times New Roman"/>
        <family val="1"/>
        <charset val="186"/>
      </rPr>
      <t>7.</t>
    </r>
    <r>
      <rPr>
        <sz val="12"/>
        <rFont val="Times New Roman"/>
        <family val="1"/>
        <charset val="186"/>
      </rPr>
      <t xml:space="preserve"> Verslo plėtros skatinimas
</t>
    </r>
    <r>
      <rPr>
        <b/>
        <sz val="12"/>
        <rFont val="Times New Roman"/>
        <family val="1"/>
        <charset val="186"/>
      </rPr>
      <t>8.</t>
    </r>
    <r>
      <rPr>
        <sz val="12"/>
        <rFont val="Times New Roman"/>
        <family val="1"/>
        <charset val="186"/>
      </rPr>
      <t xml:space="preserve"> Darnaus judumo priemių diegimas Alytaus mieste II etapas</t>
    </r>
  </si>
  <si>
    <t>2026 m.</t>
  </si>
  <si>
    <t>2027 m.</t>
  </si>
  <si>
    <t>ALYTAUS MIESTO SAVIVALDYBĖS 2025-2027 METŲ BIUDŽETO PAJAMOS</t>
  </si>
  <si>
    <t>2025-2027 m. asignavimai programoms  vykdyti</t>
  </si>
  <si>
    <t>2026 m. projektas</t>
  </si>
  <si>
    <t>2027 m.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</si>
</sst>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4"/>
      <name val="Times New Roman"/>
      <family val="1"/>
      <charset val="186"/>
    </font>
    <font>
      <sz val="10"/>
      <name val="Arial"/>
      <family val="2"/>
      <charset val="186"/>
    </font>
    <font>
      <b/>
      <sz val="12"/>
      <name val="Times New Roman"/>
      <family val="1"/>
      <charset val="186"/>
    </font>
    <font>
      <sz val="9"/>
      <name val="Times New Roman"/>
      <family val="1"/>
      <charset val="186"/>
    </font>
    <font>
      <sz val="12"/>
      <name val="Times New Roman"/>
      <family val="1"/>
      <charset val="186"/>
    </font>
    <font>
      <i/>
      <sz val="12"/>
      <name val="Times New Roman"/>
      <family val="1"/>
      <charset val="186"/>
    </font>
    <font>
      <sz val="11"/>
      <color rgb="FF000000"/>
      <name val="Calibri"/>
      <family val="2"/>
      <scheme val="minor"/>
    </font>
    <font>
      <b/>
      <sz val="9"/>
      <color indexed="81"/>
      <name val="Tahoma"/>
      <family val="2"/>
      <charset val="186"/>
    </font>
    <font>
      <sz val="9"/>
      <color indexed="81"/>
      <name val="Tahoma"/>
      <family val="2"/>
      <charset val="186"/>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12"/>
      <color rgb="FFFF0000"/>
      <name val="Times New Roman"/>
      <family val="1"/>
      <charset val="186"/>
    </font>
    <font>
      <b/>
      <sz val="12"/>
      <color rgb="FFFF0000"/>
      <name val="Times New Roman"/>
      <family val="1"/>
      <charset val="186"/>
    </font>
    <font>
      <sz val="12"/>
      <color theme="1"/>
      <name val="Arial"/>
      <family val="2"/>
      <charset val="186"/>
    </font>
    <font>
      <sz val="14"/>
      <color theme="1"/>
      <name val="Arial"/>
      <family val="2"/>
      <charset val="186"/>
    </font>
    <font>
      <b/>
      <sz val="14"/>
      <name val="Arial"/>
      <family val="2"/>
      <charset val="186"/>
    </font>
    <font>
      <b/>
      <sz val="20"/>
      <color theme="1"/>
      <name val="Arial"/>
      <family val="2"/>
      <charset val="186"/>
    </font>
    <font>
      <b/>
      <sz val="14"/>
      <color theme="1"/>
      <name val="Arial"/>
      <family val="2"/>
      <charset val="186"/>
    </font>
    <font>
      <b/>
      <sz val="12"/>
      <color rgb="FF7030A0"/>
      <name val="Times New Roman"/>
      <family val="1"/>
      <charset val="186"/>
    </font>
    <font>
      <u/>
      <sz val="12"/>
      <name val="Times New Roman"/>
      <family val="1"/>
      <charset val="186"/>
    </font>
    <font>
      <sz val="12"/>
      <color theme="3" tint="-0.249977111117893"/>
      <name val="Times New Roman"/>
      <family val="1"/>
      <charset val="186"/>
    </font>
    <font>
      <sz val="12"/>
      <color theme="1" tint="4.9989318521683403E-2"/>
      <name val="Times New Roman"/>
      <family val="1"/>
      <charset val="186"/>
    </font>
    <font>
      <sz val="8"/>
      <name val="Calibri"/>
      <family val="2"/>
      <scheme val="minor"/>
    </font>
  </fonts>
  <fills count="2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F9933"/>
        <bgColor indexed="64"/>
      </patternFill>
    </fill>
    <fill>
      <patternFill patternType="solid">
        <fgColor theme="9" tint="-0.249977111117893"/>
        <bgColor indexed="64"/>
      </patternFill>
    </fill>
    <fill>
      <patternFill patternType="solid">
        <fgColor rgb="FFFFC000"/>
        <bgColor indexed="64"/>
      </patternFill>
    </fill>
    <fill>
      <patternFill patternType="solid">
        <fgColor theme="6" tint="0.39997558519241921"/>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C000"/>
        <bgColor rgb="FFF7F97A"/>
      </patternFill>
    </fill>
    <fill>
      <patternFill patternType="solid">
        <fgColor rgb="FFFFCC99"/>
        <bgColor rgb="FFCFC7F5"/>
      </patternFill>
    </fill>
    <fill>
      <patternFill patternType="solid">
        <fgColor rgb="FFFFCC99"/>
        <bgColor indexed="64"/>
      </patternFill>
    </fill>
    <fill>
      <patternFill patternType="solid">
        <fgColor theme="9" tint="0.79998168889431442"/>
        <bgColor rgb="FFCEF7DB"/>
      </patternFill>
    </fill>
    <fill>
      <patternFill patternType="solid">
        <fgColor theme="9" tint="0.79998168889431442"/>
        <bgColor indexed="64"/>
      </patternFill>
    </fill>
    <fill>
      <patternFill patternType="solid">
        <fgColor rgb="FFCCCCFF"/>
        <bgColor indexed="64"/>
      </patternFill>
    </fill>
    <fill>
      <patternFill patternType="solid">
        <fgColor theme="7" tint="0.79998168889431442"/>
        <bgColor indexed="64"/>
      </patternFill>
    </fill>
    <fill>
      <patternFill patternType="solid">
        <fgColor theme="0"/>
        <bgColor rgb="FFF8EC44"/>
      </patternFill>
    </fill>
    <fill>
      <patternFill patternType="solid">
        <fgColor rgb="FFFF8C71"/>
        <bgColor indexed="64"/>
      </patternFill>
    </fill>
    <fill>
      <patternFill patternType="solid">
        <fgColor rgb="FFFFFFFF"/>
        <bgColor indexed="64"/>
      </patternFill>
    </fill>
    <fill>
      <patternFill patternType="solid">
        <fgColor theme="0"/>
        <bgColor theme="0"/>
      </patternFill>
    </fill>
    <fill>
      <patternFill patternType="solid">
        <fgColor rgb="FFFFFFCC"/>
        <bgColor rgb="FFFFFFCC"/>
      </patternFill>
    </fill>
    <fill>
      <patternFill patternType="solid">
        <fgColor rgb="FFFFCC00"/>
        <bgColor indexed="64"/>
      </patternFill>
    </fill>
    <fill>
      <patternFill patternType="solid">
        <fgColor theme="5" tint="0.79998168889431442"/>
        <bgColor indexed="64"/>
      </patternFill>
    </fill>
    <fill>
      <patternFill patternType="solid">
        <fgColor theme="0"/>
        <bgColor rgb="FFF7F97A"/>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s>
  <cellStyleXfs count="9">
    <xf numFmtId="0" fontId="0" fillId="0" borderId="0"/>
    <xf numFmtId="0" fontId="2" fillId="0" borderId="0"/>
    <xf numFmtId="0" fontId="4" fillId="0" borderId="0"/>
    <xf numFmtId="9" fontId="2" fillId="0" borderId="0" applyFont="0" applyFill="0" applyBorder="0" applyAlignment="0" applyProtection="0"/>
    <xf numFmtId="0" fontId="4" fillId="0" borderId="0"/>
    <xf numFmtId="0" fontId="1" fillId="0" borderId="0"/>
    <xf numFmtId="0" fontId="9" fillId="0" borderId="0"/>
    <xf numFmtId="0" fontId="1" fillId="0" borderId="0"/>
    <xf numFmtId="0" fontId="1" fillId="0" borderId="0"/>
  </cellStyleXfs>
  <cellXfs count="361">
    <xf numFmtId="0" fontId="0" fillId="0" borderId="0" xfId="0"/>
    <xf numFmtId="49" fontId="5" fillId="2" borderId="0" xfId="2" applyNumberFormat="1" applyFont="1" applyFill="1" applyAlignment="1">
      <alignment horizontal="center" vertical="center" wrapText="1"/>
    </xf>
    <xf numFmtId="49" fontId="5" fillId="3" borderId="1" xfId="2"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2" borderId="1" xfId="3" applyNumberFormat="1" applyFont="1" applyFill="1" applyBorder="1" applyAlignment="1" applyProtection="1">
      <alignment horizontal="center" vertical="center" wrapText="1"/>
    </xf>
    <xf numFmtId="49" fontId="5" fillId="4" borderId="1" xfId="2" applyNumberFormat="1" applyFont="1" applyFill="1" applyBorder="1" applyAlignment="1">
      <alignment horizontal="center" vertical="center" wrapText="1"/>
    </xf>
    <xf numFmtId="164" fontId="5" fillId="4" borderId="1" xfId="1" applyNumberFormat="1" applyFont="1" applyFill="1" applyBorder="1" applyAlignment="1">
      <alignment horizontal="right" vertical="center"/>
    </xf>
    <xf numFmtId="49" fontId="5" fillId="2" borderId="1" xfId="2" applyNumberFormat="1" applyFont="1" applyFill="1" applyBorder="1" applyAlignment="1">
      <alignment horizontal="left" vertical="center" wrapText="1"/>
    </xf>
    <xf numFmtId="164" fontId="5" fillId="2" borderId="1" xfId="1" applyNumberFormat="1" applyFont="1" applyFill="1" applyBorder="1" applyAlignment="1">
      <alignment horizontal="right" vertical="center"/>
    </xf>
    <xf numFmtId="49" fontId="7" fillId="2" borderId="1" xfId="2" applyNumberFormat="1" applyFont="1" applyFill="1" applyBorder="1" applyAlignment="1">
      <alignment horizontal="left" vertical="center" wrapText="1"/>
    </xf>
    <xf numFmtId="164" fontId="7" fillId="2" borderId="1" xfId="2" applyNumberFormat="1" applyFont="1" applyFill="1" applyBorder="1" applyAlignment="1">
      <alignment horizontal="right" vertical="center" wrapText="1"/>
    </xf>
    <xf numFmtId="164" fontId="5" fillId="2" borderId="1" xfId="2" applyNumberFormat="1" applyFont="1" applyFill="1" applyBorder="1" applyAlignment="1">
      <alignment horizontal="right" vertical="center" wrapText="1"/>
    </xf>
    <xf numFmtId="49" fontId="7" fillId="2" borderId="1" xfId="2" applyNumberFormat="1" applyFont="1" applyFill="1" applyBorder="1" applyAlignment="1">
      <alignment vertical="center" wrapText="1"/>
    </xf>
    <xf numFmtId="49" fontId="5" fillId="2" borderId="1" xfId="2" applyNumberFormat="1" applyFont="1" applyFill="1" applyBorder="1" applyAlignment="1">
      <alignment vertical="center" wrapText="1"/>
    </xf>
    <xf numFmtId="2" fontId="5" fillId="2" borderId="1" xfId="2" applyNumberFormat="1" applyFont="1" applyFill="1" applyBorder="1" applyAlignment="1">
      <alignment vertical="center" wrapText="1"/>
    </xf>
    <xf numFmtId="164" fontId="5" fillId="2" borderId="1" xfId="4" applyNumberFormat="1" applyFont="1" applyFill="1" applyBorder="1" applyAlignment="1">
      <alignment horizontal="right" vertical="center"/>
    </xf>
    <xf numFmtId="0" fontId="7" fillId="2" borderId="1" xfId="1" applyFont="1" applyFill="1" applyBorder="1" applyAlignment="1">
      <alignment vertical="center" wrapText="1"/>
    </xf>
    <xf numFmtId="164" fontId="7" fillId="2" borderId="1" xfId="1" applyNumberFormat="1" applyFont="1" applyFill="1" applyBorder="1" applyAlignment="1">
      <alignment horizontal="right" vertical="center" wrapText="1"/>
    </xf>
    <xf numFmtId="0" fontId="7" fillId="2" borderId="1" xfId="1" applyFont="1" applyFill="1" applyBorder="1" applyAlignment="1">
      <alignment horizontal="left" vertical="center" wrapText="1"/>
    </xf>
    <xf numFmtId="0" fontId="5" fillId="2" borderId="1" xfId="1" applyFont="1" applyFill="1" applyBorder="1" applyAlignment="1">
      <alignment vertical="center" wrapText="1"/>
    </xf>
    <xf numFmtId="164" fontId="7" fillId="2" borderId="1" xfId="1" applyNumberFormat="1" applyFont="1" applyFill="1" applyBorder="1" applyAlignment="1">
      <alignment horizontal="right" vertical="center"/>
    </xf>
    <xf numFmtId="49" fontId="5" fillId="5" borderId="1" xfId="2" applyNumberFormat="1" applyFont="1" applyFill="1" applyBorder="1" applyAlignment="1">
      <alignment horizontal="center" vertical="center" wrapText="1"/>
    </xf>
    <xf numFmtId="164" fontId="5" fillId="5" borderId="1" xfId="1" applyNumberFormat="1" applyFont="1" applyFill="1" applyBorder="1" applyAlignment="1">
      <alignment horizontal="right" vertical="center"/>
    </xf>
    <xf numFmtId="49" fontId="5" fillId="2" borderId="1" xfId="2" applyNumberFormat="1" applyFont="1" applyFill="1" applyBorder="1" applyAlignment="1">
      <alignment horizontal="center" vertical="center" wrapText="1"/>
    </xf>
    <xf numFmtId="0" fontId="7" fillId="2" borderId="1" xfId="4" applyFont="1" applyFill="1" applyBorder="1" applyAlignment="1">
      <alignment horizontal="left" vertical="center" wrapText="1"/>
    </xf>
    <xf numFmtId="164" fontId="7" fillId="2" borderId="1" xfId="4" applyNumberFormat="1" applyFont="1" applyFill="1" applyBorder="1" applyAlignment="1">
      <alignment horizontal="right" vertical="center" wrapText="1"/>
    </xf>
    <xf numFmtId="0" fontId="5" fillId="2" borderId="1" xfId="4" applyFont="1" applyFill="1" applyBorder="1" applyAlignment="1">
      <alignment horizontal="center" vertical="center" wrapText="1"/>
    </xf>
    <xf numFmtId="164" fontId="5" fillId="2" borderId="1" xfId="4" applyNumberFormat="1" applyFont="1" applyFill="1" applyBorder="1" applyAlignment="1">
      <alignment horizontal="right" vertical="center" wrapText="1"/>
    </xf>
    <xf numFmtId="0" fontId="5" fillId="6" borderId="1" xfId="1" applyFont="1" applyFill="1" applyBorder="1" applyAlignment="1">
      <alignment horizontal="center" vertical="center" wrapText="1"/>
    </xf>
    <xf numFmtId="164" fontId="5" fillId="6" borderId="1" xfId="1" applyNumberFormat="1" applyFont="1" applyFill="1" applyBorder="1" applyAlignment="1">
      <alignment horizontal="right" vertical="center"/>
    </xf>
    <xf numFmtId="0" fontId="7" fillId="0" borderId="0" xfId="7" applyFont="1" applyAlignment="1">
      <alignment vertical="top"/>
    </xf>
    <xf numFmtId="0" fontId="7" fillId="0" borderId="0" xfId="7" applyFont="1" applyAlignment="1">
      <alignment vertical="center"/>
    </xf>
    <xf numFmtId="0" fontId="7" fillId="0" borderId="1" xfId="6" applyFont="1" applyBorder="1" applyAlignment="1">
      <alignment horizontal="center" vertical="center" wrapText="1"/>
    </xf>
    <xf numFmtId="0" fontId="7" fillId="0" borderId="1" xfId="6" applyFont="1" applyBorder="1" applyAlignment="1">
      <alignment horizontal="left" vertical="center" wrapText="1"/>
    </xf>
    <xf numFmtId="0" fontId="14" fillId="0" borderId="1" xfId="6" applyFont="1" applyBorder="1" applyAlignment="1">
      <alignment horizontal="center" vertical="center" wrapText="1"/>
    </xf>
    <xf numFmtId="0" fontId="7" fillId="0" borderId="0" xfId="7" applyFont="1" applyAlignment="1">
      <alignment horizontal="center" vertical="center"/>
    </xf>
    <xf numFmtId="0" fontId="13" fillId="0" borderId="0" xfId="7" applyFont="1" applyAlignment="1">
      <alignment vertical="center"/>
    </xf>
    <xf numFmtId="0" fontId="19" fillId="0" borderId="0" xfId="0" applyFont="1"/>
    <xf numFmtId="0" fontId="19" fillId="0" borderId="0" xfId="0" applyFont="1" applyAlignment="1">
      <alignment wrapText="1"/>
    </xf>
    <xf numFmtId="0" fontId="20" fillId="25" borderId="1" xfId="7" applyFont="1" applyFill="1" applyBorder="1" applyAlignment="1">
      <alignment horizontal="left" vertical="center" wrapText="1" readingOrder="1"/>
    </xf>
    <xf numFmtId="0" fontId="20" fillId="2" borderId="1" xfId="7" applyFont="1" applyFill="1" applyBorder="1" applyAlignment="1">
      <alignment horizontal="left" vertical="center" wrapText="1"/>
    </xf>
    <xf numFmtId="0" fontId="21" fillId="0" borderId="0" xfId="0" applyFont="1" applyAlignment="1">
      <alignment horizontal="center" vertical="center" wrapText="1"/>
    </xf>
    <xf numFmtId="0" fontId="22" fillId="0" borderId="1" xfId="0" applyFont="1" applyBorder="1" applyAlignment="1">
      <alignment horizontal="center" vertical="center" wrapText="1"/>
    </xf>
    <xf numFmtId="0" fontId="22" fillId="24" borderId="1" xfId="0" applyFont="1" applyFill="1" applyBorder="1" applyAlignment="1">
      <alignment horizontal="center" vertical="center" wrapText="1"/>
    </xf>
    <xf numFmtId="0" fontId="7" fillId="0" borderId="0" xfId="5" applyFont="1" applyAlignment="1">
      <alignment vertical="top"/>
    </xf>
    <xf numFmtId="0" fontId="5" fillId="0" borderId="3" xfId="6" applyFont="1" applyBorder="1" applyAlignment="1">
      <alignment horizontal="center" vertical="center" wrapText="1"/>
    </xf>
    <xf numFmtId="0" fontId="5" fillId="0" borderId="1" xfId="6" applyFont="1" applyBorder="1" applyAlignment="1">
      <alignment horizontal="center" vertical="center" wrapText="1"/>
    </xf>
    <xf numFmtId="165" fontId="5" fillId="0" borderId="7" xfId="4" applyNumberFormat="1" applyFont="1" applyBorder="1" applyAlignment="1">
      <alignment horizontal="center" vertical="top" wrapText="1"/>
    </xf>
    <xf numFmtId="0" fontId="7" fillId="0" borderId="0" xfId="5" applyFont="1" applyAlignment="1">
      <alignment horizontal="left" vertical="top"/>
    </xf>
    <xf numFmtId="0" fontId="7" fillId="0" borderId="0" xfId="5" applyFont="1" applyAlignment="1">
      <alignment horizontal="center" vertical="top"/>
    </xf>
    <xf numFmtId="0" fontId="7" fillId="0" borderId="1" xfId="5" applyFont="1" applyBorder="1" applyAlignment="1">
      <alignment horizontal="center" vertical="top" wrapText="1"/>
    </xf>
    <xf numFmtId="165" fontId="5" fillId="0" borderId="8" xfId="4" applyNumberFormat="1" applyFont="1" applyBorder="1" applyAlignment="1">
      <alignment horizontal="center" vertical="top" wrapText="1"/>
    </xf>
    <xf numFmtId="0" fontId="7" fillId="0" borderId="3" xfId="6" applyFont="1" applyBorder="1" applyAlignment="1">
      <alignment horizontal="center" vertical="top" wrapText="1"/>
    </xf>
    <xf numFmtId="0" fontId="7" fillId="0" borderId="3" xfId="6" applyFont="1" applyBorder="1" applyAlignment="1">
      <alignment horizontal="center" vertical="center" wrapText="1"/>
    </xf>
    <xf numFmtId="0" fontId="7" fillId="7" borderId="3" xfId="6" applyFont="1" applyFill="1" applyBorder="1" applyAlignment="1">
      <alignment horizontal="center" vertical="top" wrapText="1"/>
    </xf>
    <xf numFmtId="165" fontId="5" fillId="7" borderId="12" xfId="6" applyNumberFormat="1" applyFont="1" applyFill="1" applyBorder="1" applyAlignment="1">
      <alignment horizontal="center" vertical="top" wrapText="1"/>
    </xf>
    <xf numFmtId="0" fontId="5" fillId="2" borderId="0" xfId="5" applyFont="1" applyFill="1" applyAlignment="1">
      <alignment horizontal="center" vertical="top"/>
    </xf>
    <xf numFmtId="165" fontId="5" fillId="13" borderId="10" xfId="6" applyNumberFormat="1" applyFont="1" applyFill="1" applyBorder="1" applyAlignment="1">
      <alignment horizontal="center" vertical="top" wrapText="1"/>
    </xf>
    <xf numFmtId="165" fontId="5" fillId="7" borderId="10" xfId="6" applyNumberFormat="1" applyFont="1" applyFill="1" applyBorder="1" applyAlignment="1">
      <alignment horizontal="center" vertical="top" wrapText="1"/>
    </xf>
    <xf numFmtId="0" fontId="15" fillId="14" borderId="1" xfId="5" applyFont="1" applyFill="1" applyBorder="1" applyAlignment="1" applyProtection="1">
      <alignment vertical="top" readingOrder="1"/>
      <protection locked="0"/>
    </xf>
    <xf numFmtId="165" fontId="5" fillId="15" borderId="1" xfId="6" applyNumberFormat="1" applyFont="1" applyFill="1" applyBorder="1" applyAlignment="1">
      <alignment horizontal="center" vertical="top" wrapText="1"/>
    </xf>
    <xf numFmtId="165" fontId="16" fillId="15" borderId="1" xfId="6" applyNumberFormat="1" applyFont="1" applyFill="1" applyBorder="1" applyAlignment="1">
      <alignment horizontal="center" vertical="top" wrapText="1"/>
    </xf>
    <xf numFmtId="165" fontId="5" fillId="7" borderId="1" xfId="6" applyNumberFormat="1" applyFont="1" applyFill="1" applyBorder="1" applyAlignment="1">
      <alignment horizontal="center" vertical="top" wrapText="1"/>
    </xf>
    <xf numFmtId="0" fontId="14" fillId="2" borderId="1" xfId="5" applyFont="1" applyFill="1" applyBorder="1" applyAlignment="1" applyProtection="1">
      <alignment vertical="top" readingOrder="1"/>
      <protection locked="0"/>
    </xf>
    <xf numFmtId="0" fontId="14" fillId="2" borderId="1" xfId="5" applyFont="1" applyFill="1" applyBorder="1" applyAlignment="1" applyProtection="1">
      <alignment vertical="top" wrapText="1" readingOrder="1"/>
      <protection locked="0"/>
    </xf>
    <xf numFmtId="165" fontId="5" fillId="8" borderId="1" xfId="6" applyNumberFormat="1" applyFont="1" applyFill="1" applyBorder="1" applyAlignment="1">
      <alignment horizontal="center" vertical="top" wrapText="1"/>
    </xf>
    <xf numFmtId="165" fontId="5" fillId="2" borderId="1" xfId="6" applyNumberFormat="1" applyFont="1" applyFill="1" applyBorder="1" applyAlignment="1">
      <alignment horizontal="center" vertical="top" wrapText="1"/>
    </xf>
    <xf numFmtId="165" fontId="14" fillId="2" borderId="1" xfId="6" applyNumberFormat="1" applyFont="1" applyFill="1" applyBorder="1" applyAlignment="1">
      <alignment horizontal="center" vertical="top" wrapText="1"/>
    </xf>
    <xf numFmtId="165" fontId="15" fillId="2" borderId="1" xfId="6" applyNumberFormat="1" applyFont="1" applyFill="1" applyBorder="1" applyAlignment="1">
      <alignment horizontal="center" vertical="top" wrapText="1"/>
    </xf>
    <xf numFmtId="165" fontId="15" fillId="2" borderId="1" xfId="6" applyNumberFormat="1" applyFont="1" applyFill="1" applyBorder="1" applyAlignment="1">
      <alignment horizontal="left" vertical="top" wrapText="1"/>
    </xf>
    <xf numFmtId="165" fontId="5" fillId="3" borderId="1" xfId="6" applyNumberFormat="1" applyFont="1" applyFill="1" applyBorder="1" applyAlignment="1">
      <alignment horizontal="center" vertical="top" wrapText="1"/>
    </xf>
    <xf numFmtId="165" fontId="16" fillId="3" borderId="1" xfId="6" applyNumberFormat="1" applyFont="1" applyFill="1" applyBorder="1" applyAlignment="1">
      <alignment horizontal="center" vertical="top" wrapText="1"/>
    </xf>
    <xf numFmtId="165" fontId="5" fillId="16" borderId="1" xfId="6" applyNumberFormat="1" applyFont="1" applyFill="1" applyBorder="1" applyAlignment="1">
      <alignment horizontal="center" vertical="top" wrapText="1"/>
    </xf>
    <xf numFmtId="165" fontId="5" fillId="9" borderId="1" xfId="6" applyNumberFormat="1" applyFont="1" applyFill="1" applyBorder="1" applyAlignment="1">
      <alignment horizontal="center" vertical="top" wrapText="1"/>
    </xf>
    <xf numFmtId="165" fontId="7" fillId="0" borderId="1" xfId="6" applyNumberFormat="1" applyFont="1" applyBorder="1" applyAlignment="1">
      <alignment horizontal="left" vertical="top" wrapText="1"/>
    </xf>
    <xf numFmtId="165" fontId="5" fillId="0" borderId="1" xfId="6" applyNumberFormat="1" applyFont="1" applyBorder="1" applyAlignment="1">
      <alignment horizontal="center" vertical="top" wrapText="1"/>
    </xf>
    <xf numFmtId="165" fontId="14" fillId="2" borderId="1" xfId="6" applyNumberFormat="1" applyFont="1" applyFill="1" applyBorder="1" applyAlignment="1">
      <alignment horizontal="left" vertical="top" wrapText="1"/>
    </xf>
    <xf numFmtId="165" fontId="7" fillId="0" borderId="1" xfId="6" applyNumberFormat="1" applyFont="1" applyBorder="1" applyAlignment="1">
      <alignment horizontal="center" vertical="top" wrapText="1"/>
    </xf>
    <xf numFmtId="165" fontId="5" fillId="17" borderId="1" xfId="6" applyNumberFormat="1" applyFont="1" applyFill="1" applyBorder="1" applyAlignment="1">
      <alignment horizontal="center" vertical="top" wrapText="1"/>
    </xf>
    <xf numFmtId="165" fontId="7" fillId="9" borderId="1" xfId="6" applyNumberFormat="1" applyFont="1" applyFill="1" applyBorder="1" applyAlignment="1">
      <alignment horizontal="left" vertical="top" wrapText="1"/>
    </xf>
    <xf numFmtId="165" fontId="7" fillId="15" borderId="1" xfId="6" applyNumberFormat="1" applyFont="1" applyFill="1" applyBorder="1" applyAlignment="1">
      <alignment horizontal="left" vertical="top" wrapText="1"/>
    </xf>
    <xf numFmtId="0" fontId="14" fillId="0" borderId="1" xfId="7" applyFont="1" applyBorder="1" applyAlignment="1">
      <alignment horizontal="left" vertical="top" wrapText="1"/>
    </xf>
    <xf numFmtId="0" fontId="7" fillId="0" borderId="1" xfId="5" applyFont="1" applyBorder="1" applyAlignment="1">
      <alignment vertical="top" wrapText="1"/>
    </xf>
    <xf numFmtId="165" fontId="5" fillId="10" borderId="1" xfId="6" applyNumberFormat="1" applyFont="1" applyFill="1" applyBorder="1" applyAlignment="1">
      <alignment horizontal="center" vertical="top" wrapText="1"/>
    </xf>
    <xf numFmtId="0" fontId="15" fillId="12" borderId="1" xfId="5" applyFont="1" applyFill="1" applyBorder="1" applyAlignment="1" applyProtection="1">
      <alignment vertical="top" readingOrder="1"/>
      <protection locked="0"/>
    </xf>
    <xf numFmtId="165" fontId="5" fillId="13" borderId="1" xfId="6" applyNumberFormat="1" applyFont="1" applyFill="1" applyBorder="1" applyAlignment="1">
      <alignment horizontal="center" vertical="top" wrapText="1"/>
    </xf>
    <xf numFmtId="165" fontId="7" fillId="13" borderId="1" xfId="6" applyNumberFormat="1" applyFont="1" applyFill="1" applyBorder="1" applyAlignment="1">
      <alignment horizontal="center" vertical="top" wrapText="1"/>
    </xf>
    <xf numFmtId="165" fontId="16" fillId="13" borderId="1" xfId="6" applyNumberFormat="1" applyFont="1" applyFill="1" applyBorder="1" applyAlignment="1">
      <alignment horizontal="center" vertical="top" wrapText="1"/>
    </xf>
    <xf numFmtId="165" fontId="7" fillId="13" borderId="1" xfId="6" applyNumberFormat="1" applyFont="1" applyFill="1" applyBorder="1" applyAlignment="1">
      <alignment horizontal="left" vertical="top" wrapText="1"/>
    </xf>
    <xf numFmtId="165" fontId="7" fillId="15" borderId="1" xfId="6" applyNumberFormat="1" applyFont="1" applyFill="1" applyBorder="1" applyAlignment="1">
      <alignment horizontal="center" vertical="top" wrapText="1"/>
    </xf>
    <xf numFmtId="165" fontId="5" fillId="7" borderId="4" xfId="6" applyNumberFormat="1" applyFont="1" applyFill="1" applyBorder="1" applyAlignment="1">
      <alignment horizontal="center" vertical="top" wrapText="1"/>
    </xf>
    <xf numFmtId="165" fontId="5" fillId="15" borderId="4" xfId="6" applyNumberFormat="1" applyFont="1" applyFill="1" applyBorder="1" applyAlignment="1">
      <alignment horizontal="center" vertical="top" wrapText="1"/>
    </xf>
    <xf numFmtId="165" fontId="7" fillId="2" borderId="1" xfId="6" applyNumberFormat="1" applyFont="1" applyFill="1" applyBorder="1" applyAlignment="1">
      <alignment horizontal="left" vertical="top" wrapText="1"/>
    </xf>
    <xf numFmtId="165" fontId="5" fillId="8" borderId="1" xfId="6" applyNumberFormat="1" applyFont="1" applyFill="1" applyBorder="1" applyAlignment="1">
      <alignment vertical="top" wrapText="1"/>
    </xf>
    <xf numFmtId="165" fontId="5" fillId="2" borderId="1" xfId="6" applyNumberFormat="1" applyFont="1" applyFill="1" applyBorder="1" applyAlignment="1">
      <alignment vertical="top" wrapText="1"/>
    </xf>
    <xf numFmtId="165" fontId="14" fillId="2" borderId="1" xfId="6" applyNumberFormat="1" applyFont="1" applyFill="1" applyBorder="1" applyAlignment="1">
      <alignment vertical="top" wrapText="1"/>
    </xf>
    <xf numFmtId="165" fontId="15" fillId="2" borderId="1" xfId="6" applyNumberFormat="1" applyFont="1" applyFill="1" applyBorder="1" applyAlignment="1">
      <alignment vertical="top" wrapText="1"/>
    </xf>
    <xf numFmtId="165" fontId="14" fillId="2" borderId="1" xfId="6" applyNumberFormat="1" applyFont="1" applyFill="1" applyBorder="1" applyAlignment="1">
      <alignment vertical="top" wrapText="1" readingOrder="1"/>
    </xf>
    <xf numFmtId="165" fontId="5" fillId="3" borderId="1" xfId="6" applyNumberFormat="1" applyFont="1" applyFill="1" applyBorder="1" applyAlignment="1">
      <alignment vertical="top" wrapText="1"/>
    </xf>
    <xf numFmtId="165" fontId="5" fillId="16" borderId="1" xfId="6" applyNumberFormat="1" applyFont="1" applyFill="1" applyBorder="1" applyAlignment="1">
      <alignment vertical="top" wrapText="1"/>
    </xf>
    <xf numFmtId="165" fontId="5" fillId="7" borderId="1" xfId="6" applyNumberFormat="1" applyFont="1" applyFill="1" applyBorder="1" applyAlignment="1">
      <alignment vertical="top" wrapText="1"/>
    </xf>
    <xf numFmtId="165" fontId="5" fillId="9" borderId="1" xfId="6" applyNumberFormat="1" applyFont="1" applyFill="1" applyBorder="1" applyAlignment="1">
      <alignment vertical="top" wrapText="1"/>
    </xf>
    <xf numFmtId="165" fontId="7" fillId="0" borderId="1" xfId="6" applyNumberFormat="1" applyFont="1" applyBorder="1" applyAlignment="1">
      <alignment vertical="top" wrapText="1" readingOrder="1"/>
    </xf>
    <xf numFmtId="165" fontId="5" fillId="0" borderId="1" xfId="6" applyNumberFormat="1" applyFont="1" applyBorder="1" applyAlignment="1">
      <alignment vertical="top" wrapText="1"/>
    </xf>
    <xf numFmtId="0" fontId="5" fillId="2" borderId="0" xfId="5" applyFont="1" applyFill="1" applyAlignment="1">
      <alignment vertical="top"/>
    </xf>
    <xf numFmtId="165" fontId="14" fillId="2" borderId="1" xfId="6" applyNumberFormat="1" applyFont="1" applyFill="1" applyBorder="1" applyAlignment="1">
      <alignment horizontal="left" vertical="top" wrapText="1" readingOrder="1"/>
    </xf>
    <xf numFmtId="165" fontId="7" fillId="3" borderId="1" xfId="6" applyNumberFormat="1" applyFont="1" applyFill="1" applyBorder="1" applyAlignment="1">
      <alignment horizontal="center" vertical="top" wrapText="1"/>
    </xf>
    <xf numFmtId="165" fontId="7" fillId="9" borderId="1" xfId="6" applyNumberFormat="1" applyFont="1" applyFill="1" applyBorder="1" applyAlignment="1">
      <alignment horizontal="center" vertical="top" wrapText="1"/>
    </xf>
    <xf numFmtId="165" fontId="7" fillId="0" borderId="1" xfId="6" applyNumberFormat="1" applyFont="1" applyBorder="1" applyAlignment="1">
      <alignment horizontal="left" vertical="top" wrapText="1" readingOrder="1"/>
    </xf>
    <xf numFmtId="0" fontId="7" fillId="2" borderId="0" xfId="5" applyFont="1" applyFill="1" applyAlignment="1">
      <alignment vertical="top"/>
    </xf>
    <xf numFmtId="0" fontId="5" fillId="0" borderId="0" xfId="5" applyFont="1" applyAlignment="1">
      <alignment horizontal="center" vertical="top"/>
    </xf>
    <xf numFmtId="0" fontId="16" fillId="0" borderId="0" xfId="5" applyFont="1" applyAlignment="1">
      <alignment horizontal="center" vertical="top"/>
    </xf>
    <xf numFmtId="0" fontId="5" fillId="7" borderId="0" xfId="5" applyFont="1" applyFill="1" applyAlignment="1">
      <alignment horizontal="center" vertical="top"/>
    </xf>
    <xf numFmtId="0" fontId="7" fillId="7" borderId="0" xfId="5" applyFont="1" applyFill="1" applyAlignment="1">
      <alignment horizontal="center" vertical="top"/>
    </xf>
    <xf numFmtId="0" fontId="14" fillId="0" borderId="3" xfId="6" applyFont="1" applyBorder="1" applyAlignment="1">
      <alignment horizontal="center" vertical="center" wrapText="1"/>
    </xf>
    <xf numFmtId="0" fontId="14" fillId="0" borderId="3" xfId="6" applyFont="1" applyBorder="1" applyAlignment="1">
      <alignment horizontal="left" vertical="center" wrapText="1"/>
    </xf>
    <xf numFmtId="0" fontId="13" fillId="0" borderId="3" xfId="5" applyFont="1" applyBorder="1" applyAlignment="1">
      <alignment vertical="center" wrapText="1"/>
    </xf>
    <xf numFmtId="0" fontId="16" fillId="0" borderId="3" xfId="6" applyFont="1" applyBorder="1" applyAlignment="1">
      <alignment horizontal="center" vertical="center" wrapText="1"/>
    </xf>
    <xf numFmtId="49" fontId="7" fillId="0" borderId="3" xfId="6" applyNumberFormat="1" applyFont="1" applyBorder="1" applyAlignment="1">
      <alignment horizontal="center" vertical="center" wrapText="1"/>
    </xf>
    <xf numFmtId="0" fontId="5" fillId="11" borderId="14" xfId="5" applyFont="1" applyFill="1" applyBorder="1" applyAlignment="1" applyProtection="1">
      <alignment horizontal="left" vertical="center" wrapText="1" readingOrder="1"/>
      <protection locked="0"/>
    </xf>
    <xf numFmtId="0" fontId="5" fillId="11" borderId="14" xfId="5" applyFont="1" applyFill="1" applyBorder="1" applyAlignment="1" applyProtection="1">
      <alignment horizontal="left" vertical="top" wrapText="1" readingOrder="1"/>
      <protection locked="0"/>
    </xf>
    <xf numFmtId="165" fontId="5" fillId="7" borderId="14" xfId="6" applyNumberFormat="1" applyFont="1" applyFill="1" applyBorder="1" applyAlignment="1">
      <alignment horizontal="center" vertical="top" wrapText="1"/>
    </xf>
    <xf numFmtId="165" fontId="16" fillId="7" borderId="14" xfId="6" applyNumberFormat="1" applyFont="1" applyFill="1" applyBorder="1" applyAlignment="1">
      <alignment horizontal="center" vertical="top" wrapText="1"/>
    </xf>
    <xf numFmtId="0" fontId="7" fillId="0" borderId="0" xfId="5" applyFont="1" applyAlignment="1">
      <alignment vertical="top" wrapText="1"/>
    </xf>
    <xf numFmtId="0" fontId="16" fillId="0" borderId="0" xfId="5" applyFont="1" applyAlignment="1">
      <alignment vertical="top"/>
    </xf>
    <xf numFmtId="165" fontId="7" fillId="0" borderId="0" xfId="4" applyNumberFormat="1" applyFont="1" applyAlignment="1">
      <alignment vertical="top" wrapText="1"/>
    </xf>
    <xf numFmtId="0" fontId="16" fillId="0" borderId="0" xfId="5" applyFont="1" applyAlignment="1">
      <alignment vertical="top" wrapText="1"/>
    </xf>
    <xf numFmtId="0" fontId="13" fillId="0" borderId="0" xfId="5" applyFont="1" applyAlignment="1">
      <alignment vertical="top"/>
    </xf>
    <xf numFmtId="0" fontId="24" fillId="0" borderId="0" xfId="5" applyFont="1" applyAlignment="1">
      <alignment vertical="top"/>
    </xf>
    <xf numFmtId="0" fontId="24" fillId="0" borderId="2" xfId="5" applyFont="1" applyBorder="1" applyAlignment="1">
      <alignment vertical="top"/>
    </xf>
    <xf numFmtId="0" fontId="15" fillId="12" borderId="1" xfId="5" applyFont="1" applyFill="1" applyBorder="1" applyAlignment="1" applyProtection="1">
      <alignment horizontal="left" vertical="center" wrapText="1" readingOrder="1"/>
      <protection locked="0"/>
    </xf>
    <xf numFmtId="0" fontId="15" fillId="14" borderId="1" xfId="5" applyFont="1" applyFill="1" applyBorder="1" applyAlignment="1" applyProtection="1">
      <alignment horizontal="left" vertical="center" wrapText="1" readingOrder="1"/>
      <protection locked="0"/>
    </xf>
    <xf numFmtId="0" fontId="14" fillId="2" borderId="1" xfId="5" applyFont="1" applyFill="1" applyBorder="1" applyAlignment="1" applyProtection="1">
      <alignment horizontal="left" vertical="center" wrapText="1" readingOrder="1"/>
      <protection locked="0"/>
    </xf>
    <xf numFmtId="0" fontId="7" fillId="2" borderId="1" xfId="5" applyFont="1" applyFill="1" applyBorder="1" applyAlignment="1" applyProtection="1">
      <alignment horizontal="left" vertical="center" wrapText="1" readingOrder="1"/>
      <protection locked="0"/>
    </xf>
    <xf numFmtId="0" fontId="7" fillId="2" borderId="1" xfId="5" applyFont="1" applyFill="1" applyBorder="1" applyAlignment="1" applyProtection="1">
      <alignment vertical="top" readingOrder="1"/>
      <protection locked="0"/>
    </xf>
    <xf numFmtId="0" fontId="7" fillId="0" borderId="1" xfId="5" applyFont="1" applyBorder="1" applyAlignment="1">
      <alignment horizontal="left" vertical="center" wrapText="1"/>
    </xf>
    <xf numFmtId="0" fontId="5" fillId="0" borderId="0" xfId="7" applyFont="1" applyAlignment="1">
      <alignment vertical="top"/>
    </xf>
    <xf numFmtId="0" fontId="7" fillId="0" borderId="1" xfId="6" applyFont="1" applyBorder="1" applyAlignment="1">
      <alignment horizontal="center" vertical="top" wrapText="1"/>
    </xf>
    <xf numFmtId="0" fontId="14" fillId="0" borderId="1" xfId="6" applyFont="1" applyBorder="1" applyAlignment="1">
      <alignment horizontal="center" vertical="top" wrapText="1"/>
    </xf>
    <xf numFmtId="0" fontId="14" fillId="0" borderId="1" xfId="6" applyFont="1" applyBorder="1" applyAlignment="1">
      <alignment horizontal="left" vertical="top" wrapText="1"/>
    </xf>
    <xf numFmtId="0" fontId="5" fillId="0" borderId="1" xfId="6" applyFont="1" applyBorder="1" applyAlignment="1">
      <alignment horizontal="center" vertical="top" wrapText="1"/>
    </xf>
    <xf numFmtId="0" fontId="16" fillId="0" borderId="1" xfId="6" applyFont="1" applyBorder="1" applyAlignment="1">
      <alignment horizontal="center" vertical="top" wrapText="1"/>
    </xf>
    <xf numFmtId="0" fontId="5" fillId="7" borderId="1" xfId="7" applyFont="1" applyFill="1" applyBorder="1" applyAlignment="1">
      <alignment horizontal="left" vertical="top" wrapText="1"/>
    </xf>
    <xf numFmtId="165" fontId="5" fillId="7" borderId="1" xfId="7" applyNumberFormat="1" applyFont="1" applyFill="1" applyBorder="1" applyAlignment="1">
      <alignment horizontal="right" vertical="top" wrapText="1"/>
    </xf>
    <xf numFmtId="0" fontId="15" fillId="12" borderId="1" xfId="7" applyFont="1" applyFill="1" applyBorder="1" applyAlignment="1" applyProtection="1">
      <alignment vertical="top" readingOrder="1"/>
      <protection locked="0"/>
    </xf>
    <xf numFmtId="165" fontId="5" fillId="13" borderId="1" xfId="7" applyNumberFormat="1" applyFont="1" applyFill="1" applyBorder="1" applyAlignment="1">
      <alignment horizontal="right" vertical="top" wrapText="1"/>
    </xf>
    <xf numFmtId="165" fontId="5" fillId="15" borderId="1" xfId="7" applyNumberFormat="1" applyFont="1" applyFill="1" applyBorder="1" applyAlignment="1">
      <alignment horizontal="right" vertical="top" wrapText="1"/>
    </xf>
    <xf numFmtId="0" fontId="14" fillId="2" borderId="1" xfId="7" applyFont="1" applyFill="1" applyBorder="1" applyAlignment="1" applyProtection="1">
      <alignment vertical="top" readingOrder="1"/>
      <protection locked="0"/>
    </xf>
    <xf numFmtId="165" fontId="5" fillId="3" borderId="1" xfId="7" applyNumberFormat="1" applyFont="1" applyFill="1" applyBorder="1" applyAlignment="1">
      <alignment horizontal="right" vertical="top" wrapText="1"/>
    </xf>
    <xf numFmtId="165" fontId="5" fillId="2" borderId="1" xfId="7" applyNumberFormat="1" applyFont="1" applyFill="1" applyBorder="1" applyAlignment="1">
      <alignment horizontal="right" vertical="top" wrapText="1"/>
    </xf>
    <xf numFmtId="0" fontId="7" fillId="2" borderId="1" xfId="7" applyFont="1" applyFill="1" applyBorder="1" applyAlignment="1">
      <alignment horizontal="right" vertical="top"/>
    </xf>
    <xf numFmtId="0" fontId="7" fillId="0" borderId="1" xfId="7" applyFont="1" applyBorder="1" applyAlignment="1">
      <alignment horizontal="left" vertical="top" wrapText="1"/>
    </xf>
    <xf numFmtId="0" fontId="15" fillId="14" borderId="1" xfId="7" applyFont="1" applyFill="1" applyBorder="1" applyAlignment="1" applyProtection="1">
      <alignment vertical="top" readingOrder="1"/>
      <protection locked="0"/>
    </xf>
    <xf numFmtId="165" fontId="17" fillId="15" borderId="1" xfId="7" applyNumberFormat="1" applyFont="1" applyFill="1" applyBorder="1" applyAlignment="1">
      <alignment horizontal="right" vertical="top" wrapText="1"/>
    </xf>
    <xf numFmtId="0" fontId="14" fillId="0" borderId="1" xfId="7" applyFont="1" applyBorder="1" applyAlignment="1">
      <alignment vertical="top" wrapText="1"/>
    </xf>
    <xf numFmtId="165" fontId="5" fillId="15" borderId="1" xfId="7" applyNumberFormat="1" applyFont="1" applyFill="1" applyBorder="1" applyAlignment="1">
      <alignment horizontal="center" vertical="top" wrapText="1"/>
    </xf>
    <xf numFmtId="0" fontId="13" fillId="0" borderId="1" xfId="7" applyFont="1" applyBorder="1" applyAlignment="1">
      <alignment vertical="top" wrapText="1"/>
    </xf>
    <xf numFmtId="0" fontId="14" fillId="0" borderId="1" xfId="7" applyFont="1" applyBorder="1" applyAlignment="1" applyProtection="1">
      <alignment vertical="top" wrapText="1" readingOrder="1"/>
      <protection locked="0"/>
    </xf>
    <xf numFmtId="0" fontId="7" fillId="2" borderId="0" xfId="7" applyFont="1" applyFill="1" applyAlignment="1">
      <alignment vertical="top"/>
    </xf>
    <xf numFmtId="0" fontId="7" fillId="2" borderId="0" xfId="7" applyFont="1" applyFill="1" applyAlignment="1">
      <alignment horizontal="left" vertical="top"/>
    </xf>
    <xf numFmtId="0" fontId="7" fillId="2" borderId="0" xfId="7" applyFont="1" applyFill="1" applyAlignment="1">
      <alignment horizontal="right" vertical="top"/>
    </xf>
    <xf numFmtId="0" fontId="5" fillId="2" borderId="0" xfId="7" applyFont="1" applyFill="1" applyAlignment="1">
      <alignment horizontal="right" vertical="top"/>
    </xf>
    <xf numFmtId="0" fontId="7" fillId="0" borderId="1" xfId="7" applyFont="1" applyBorder="1" applyAlignment="1">
      <alignment vertical="top"/>
    </xf>
    <xf numFmtId="165" fontId="5" fillId="0" borderId="1" xfId="4" applyNumberFormat="1" applyFont="1" applyBorder="1" applyAlignment="1">
      <alignment horizontal="center" vertical="top" wrapText="1"/>
    </xf>
    <xf numFmtId="0" fontId="7" fillId="0" borderId="1" xfId="7" applyFont="1" applyBorder="1" applyAlignment="1">
      <alignment horizontal="center" vertical="top" wrapText="1"/>
    </xf>
    <xf numFmtId="0" fontId="7" fillId="0" borderId="1" xfId="7" applyFont="1" applyBorder="1" applyAlignment="1">
      <alignment vertical="center"/>
    </xf>
    <xf numFmtId="165" fontId="5" fillId="0" borderId="1" xfId="4" applyNumberFormat="1" applyFont="1" applyBorder="1" applyAlignment="1">
      <alignment horizontal="center" vertical="center" wrapText="1"/>
    </xf>
    <xf numFmtId="0" fontId="7" fillId="0" borderId="1" xfId="7" applyFont="1" applyBorder="1" applyAlignment="1">
      <alignment horizontal="center" vertical="center" wrapText="1"/>
    </xf>
    <xf numFmtId="0" fontId="14" fillId="0" borderId="1" xfId="6" applyFont="1" applyBorder="1" applyAlignment="1">
      <alignment horizontal="left" vertical="center" wrapText="1"/>
    </xf>
    <xf numFmtId="0" fontId="16" fillId="0" borderId="1" xfId="6" applyFont="1" applyBorder="1" applyAlignment="1">
      <alignment horizontal="center" vertical="center" wrapText="1"/>
    </xf>
    <xf numFmtId="0" fontId="5" fillId="7" borderId="1" xfId="7" applyFont="1" applyFill="1" applyBorder="1" applyAlignment="1">
      <alignment horizontal="left" vertical="center" wrapText="1"/>
    </xf>
    <xf numFmtId="165" fontId="5" fillId="7" borderId="1" xfId="7" applyNumberFormat="1" applyFont="1" applyFill="1" applyBorder="1" applyAlignment="1">
      <alignment horizontal="right" vertical="center" wrapText="1"/>
    </xf>
    <xf numFmtId="165" fontId="7" fillId="7" borderId="1" xfId="7" applyNumberFormat="1" applyFont="1" applyFill="1" applyBorder="1" applyAlignment="1">
      <alignment horizontal="right" vertical="center" wrapText="1"/>
    </xf>
    <xf numFmtId="0" fontId="7" fillId="2" borderId="0" xfId="7" applyFont="1" applyFill="1" applyAlignment="1">
      <alignment horizontal="center" vertical="center"/>
    </xf>
    <xf numFmtId="0" fontId="15" fillId="12" borderId="1" xfId="7" applyFont="1" applyFill="1" applyBorder="1" applyAlignment="1" applyProtection="1">
      <alignment vertical="center" wrapText="1" readingOrder="1"/>
      <protection locked="0"/>
    </xf>
    <xf numFmtId="165" fontId="12" fillId="13" borderId="1" xfId="7" applyNumberFormat="1" applyFont="1" applyFill="1" applyBorder="1" applyAlignment="1">
      <alignment horizontal="right" vertical="center" wrapText="1"/>
    </xf>
    <xf numFmtId="165" fontId="5" fillId="13" borderId="1" xfId="7" applyNumberFormat="1" applyFont="1" applyFill="1" applyBorder="1" applyAlignment="1">
      <alignment horizontal="right" vertical="center" wrapText="1"/>
    </xf>
    <xf numFmtId="165" fontId="16" fillId="13" borderId="1" xfId="7" applyNumberFormat="1" applyFont="1" applyFill="1" applyBorder="1" applyAlignment="1">
      <alignment horizontal="right" vertical="center" wrapText="1"/>
    </xf>
    <xf numFmtId="0" fontId="5" fillId="2" borderId="0" xfId="7" applyFont="1" applyFill="1" applyAlignment="1">
      <alignment horizontal="center" vertical="center"/>
    </xf>
    <xf numFmtId="165" fontId="5" fillId="15" borderId="1" xfId="6" applyNumberFormat="1" applyFont="1" applyFill="1" applyBorder="1" applyAlignment="1">
      <alignment horizontal="left" vertical="center" wrapText="1"/>
    </xf>
    <xf numFmtId="0" fontId="15" fillId="14" borderId="1" xfId="7" applyFont="1" applyFill="1" applyBorder="1" applyAlignment="1" applyProtection="1">
      <alignment vertical="center" wrapText="1" readingOrder="1"/>
      <protection locked="0"/>
    </xf>
    <xf numFmtId="165" fontId="12" fillId="15" borderId="1" xfId="7" applyNumberFormat="1" applyFont="1" applyFill="1" applyBorder="1" applyAlignment="1">
      <alignment horizontal="right" vertical="center" wrapText="1"/>
    </xf>
    <xf numFmtId="165" fontId="5" fillId="15" borderId="1" xfId="7" applyNumberFormat="1" applyFont="1" applyFill="1" applyBorder="1" applyAlignment="1">
      <alignment horizontal="right" vertical="center" wrapText="1"/>
    </xf>
    <xf numFmtId="165" fontId="16" fillId="15" borderId="1" xfId="7" applyNumberFormat="1" applyFont="1" applyFill="1" applyBorder="1" applyAlignment="1">
      <alignment horizontal="right" vertical="center" wrapText="1"/>
    </xf>
    <xf numFmtId="0" fontId="14" fillId="2" borderId="1" xfId="7" applyFont="1" applyFill="1" applyBorder="1" applyAlignment="1" applyProtection="1">
      <alignment vertical="center" wrapText="1" readingOrder="1"/>
      <protection locked="0"/>
    </xf>
    <xf numFmtId="165" fontId="13" fillId="8" borderId="1" xfId="7" applyNumberFormat="1" applyFont="1" applyFill="1" applyBorder="1" applyAlignment="1">
      <alignment horizontal="right" vertical="center" wrapText="1"/>
    </xf>
    <xf numFmtId="165" fontId="14" fillId="2" borderId="1" xfId="7" applyNumberFormat="1" applyFont="1" applyFill="1" applyBorder="1" applyAlignment="1">
      <alignment horizontal="right" vertical="center" wrapText="1"/>
    </xf>
    <xf numFmtId="165" fontId="15" fillId="18" borderId="1" xfId="7" applyNumberFormat="1" applyFont="1" applyFill="1" applyBorder="1" applyAlignment="1">
      <alignment horizontal="right" vertical="center" wrapText="1"/>
    </xf>
    <xf numFmtId="165" fontId="7" fillId="2" borderId="1" xfId="7" applyNumberFormat="1" applyFont="1" applyFill="1" applyBorder="1" applyAlignment="1" applyProtection="1">
      <alignment horizontal="left" vertical="center" wrapText="1"/>
      <protection locked="0"/>
    </xf>
    <xf numFmtId="0" fontId="7" fillId="2" borderId="1" xfId="7" applyFont="1" applyFill="1" applyBorder="1" applyAlignment="1" applyProtection="1">
      <alignment horizontal="right" vertical="center" wrapText="1"/>
      <protection locked="0"/>
    </xf>
    <xf numFmtId="165" fontId="5" fillId="3" borderId="1" xfId="7" applyNumberFormat="1" applyFont="1" applyFill="1" applyBorder="1" applyAlignment="1" applyProtection="1">
      <alignment horizontal="right" vertical="center" wrapText="1"/>
      <protection locked="0"/>
    </xf>
    <xf numFmtId="165" fontId="16" fillId="3" borderId="1" xfId="7" applyNumberFormat="1" applyFont="1" applyFill="1" applyBorder="1" applyAlignment="1">
      <alignment horizontal="right" vertical="center" wrapText="1"/>
    </xf>
    <xf numFmtId="165" fontId="7" fillId="3" borderId="1" xfId="7" applyNumberFormat="1" applyFont="1" applyFill="1" applyBorder="1" applyAlignment="1" applyProtection="1">
      <alignment horizontal="right" vertical="center" wrapText="1"/>
      <protection locked="0"/>
    </xf>
    <xf numFmtId="165" fontId="5" fillId="3" borderId="1" xfId="7" applyNumberFormat="1" applyFont="1" applyFill="1" applyBorder="1" applyAlignment="1">
      <alignment horizontal="right" vertical="center" wrapText="1"/>
    </xf>
    <xf numFmtId="165" fontId="7" fillId="3" borderId="1" xfId="7" applyNumberFormat="1" applyFont="1" applyFill="1" applyBorder="1" applyAlignment="1" applyProtection="1">
      <alignment horizontal="right" vertical="center"/>
      <protection locked="0"/>
    </xf>
    <xf numFmtId="165" fontId="5" fillId="16" borderId="1" xfId="7" applyNumberFormat="1" applyFont="1" applyFill="1" applyBorder="1" applyAlignment="1">
      <alignment horizontal="right" vertical="center" wrapText="1"/>
    </xf>
    <xf numFmtId="165" fontId="5" fillId="2" borderId="1" xfId="7" applyNumberFormat="1" applyFont="1" applyFill="1" applyBorder="1" applyAlignment="1">
      <alignment horizontal="right" vertical="center" wrapText="1"/>
    </xf>
    <xf numFmtId="165" fontId="14" fillId="2" borderId="1" xfId="7" applyNumberFormat="1" applyFont="1" applyFill="1" applyBorder="1" applyAlignment="1" applyProtection="1">
      <alignment horizontal="left" vertical="center" wrapText="1"/>
      <protection locked="0"/>
    </xf>
    <xf numFmtId="165" fontId="14" fillId="2" borderId="1" xfId="7" applyNumberFormat="1" applyFont="1" applyFill="1" applyBorder="1" applyAlignment="1" applyProtection="1">
      <alignment horizontal="right" vertical="center" wrapText="1"/>
      <protection locked="0"/>
    </xf>
    <xf numFmtId="165" fontId="13" fillId="2" borderId="1" xfId="7" applyNumberFormat="1" applyFont="1" applyFill="1" applyBorder="1" applyAlignment="1">
      <alignment horizontal="left" vertical="center" wrapText="1"/>
    </xf>
    <xf numFmtId="165" fontId="12" fillId="8" borderId="1" xfId="7" applyNumberFormat="1" applyFont="1" applyFill="1" applyBorder="1" applyAlignment="1">
      <alignment horizontal="left" vertical="center" wrapText="1"/>
    </xf>
    <xf numFmtId="165" fontId="12" fillId="2" borderId="1" xfId="7" applyNumberFormat="1" applyFont="1" applyFill="1" applyBorder="1" applyAlignment="1">
      <alignment horizontal="left" vertical="center" wrapText="1"/>
    </xf>
    <xf numFmtId="165" fontId="12" fillId="2" borderId="1" xfId="7" applyNumberFormat="1" applyFont="1" applyFill="1" applyBorder="1" applyAlignment="1">
      <alignment horizontal="right" vertical="center" wrapText="1"/>
    </xf>
    <xf numFmtId="165" fontId="5" fillId="3" borderId="1" xfId="7" applyNumberFormat="1" applyFont="1" applyFill="1" applyBorder="1" applyAlignment="1">
      <alignment horizontal="left" vertical="center" wrapText="1"/>
    </xf>
    <xf numFmtId="165" fontId="5" fillId="16" borderId="1" xfId="7" applyNumberFormat="1" applyFont="1" applyFill="1" applyBorder="1" applyAlignment="1">
      <alignment horizontal="left" vertical="center" wrapText="1"/>
    </xf>
    <xf numFmtId="165" fontId="5" fillId="2" borderId="1" xfId="7" applyNumberFormat="1" applyFont="1" applyFill="1" applyBorder="1" applyAlignment="1">
      <alignment horizontal="left" vertical="center" wrapText="1"/>
    </xf>
    <xf numFmtId="0" fontId="5" fillId="2" borderId="0" xfId="7" applyFont="1" applyFill="1" applyAlignment="1">
      <alignment horizontal="left" vertical="center"/>
    </xf>
    <xf numFmtId="165" fontId="13" fillId="2" borderId="1" xfId="7" applyNumberFormat="1" applyFont="1" applyFill="1" applyBorder="1" applyAlignment="1">
      <alignment horizontal="right" vertical="center" wrapText="1"/>
    </xf>
    <xf numFmtId="165" fontId="13" fillId="2" borderId="1" xfId="8" applyNumberFormat="1" applyFont="1" applyFill="1" applyBorder="1" applyAlignment="1">
      <alignment horizontal="left" vertical="center" wrapText="1"/>
    </xf>
    <xf numFmtId="165" fontId="7" fillId="2" borderId="1" xfId="7" applyNumberFormat="1" applyFont="1" applyFill="1" applyBorder="1" applyAlignment="1">
      <alignment horizontal="right" vertical="center"/>
    </xf>
    <xf numFmtId="165" fontId="7" fillId="2" borderId="1" xfId="7" applyNumberFormat="1" applyFont="1" applyFill="1" applyBorder="1" applyAlignment="1">
      <alignment horizontal="left" vertical="center" wrapText="1"/>
    </xf>
    <xf numFmtId="0" fontId="7" fillId="2" borderId="1" xfId="7" applyFont="1" applyFill="1" applyBorder="1" applyAlignment="1">
      <alignment horizontal="right" vertical="center"/>
    </xf>
    <xf numFmtId="165" fontId="5" fillId="3" borderId="1" xfId="7" applyNumberFormat="1" applyFont="1" applyFill="1" applyBorder="1" applyAlignment="1">
      <alignment horizontal="right" vertical="center"/>
    </xf>
    <xf numFmtId="165" fontId="7" fillId="3" borderId="1" xfId="7" applyNumberFormat="1" applyFont="1" applyFill="1" applyBorder="1" applyAlignment="1">
      <alignment horizontal="right" vertical="center"/>
    </xf>
    <xf numFmtId="165" fontId="13" fillId="0" borderId="1" xfId="7" applyNumberFormat="1" applyFont="1" applyBorder="1" applyAlignment="1">
      <alignment horizontal="left" vertical="center" wrapText="1"/>
    </xf>
    <xf numFmtId="165" fontId="5" fillId="19" borderId="1" xfId="7" applyNumberFormat="1" applyFont="1" applyFill="1" applyBorder="1" applyAlignment="1">
      <alignment horizontal="right" vertical="center" wrapText="1"/>
    </xf>
    <xf numFmtId="165" fontId="7" fillId="2" borderId="1" xfId="8" applyNumberFormat="1" applyFont="1" applyFill="1" applyBorder="1" applyAlignment="1">
      <alignment horizontal="left" vertical="center" wrapText="1"/>
    </xf>
    <xf numFmtId="165" fontId="12" fillId="8" borderId="1" xfId="7" applyNumberFormat="1" applyFont="1" applyFill="1" applyBorder="1" applyAlignment="1">
      <alignment horizontal="right" vertical="center" wrapText="1"/>
    </xf>
    <xf numFmtId="165" fontId="12" fillId="0" borderId="1" xfId="7" applyNumberFormat="1" applyFont="1" applyBorder="1" applyAlignment="1">
      <alignment horizontal="right" vertical="center" wrapText="1"/>
    </xf>
    <xf numFmtId="165" fontId="13" fillId="0" borderId="1" xfId="8" applyNumberFormat="1" applyFont="1" applyBorder="1" applyAlignment="1">
      <alignment horizontal="left" vertical="center" wrapText="1"/>
    </xf>
    <xf numFmtId="165" fontId="12" fillId="15" borderId="1" xfId="7" applyNumberFormat="1" applyFont="1" applyFill="1" applyBorder="1" applyAlignment="1">
      <alignment horizontal="left" vertical="center" wrapText="1"/>
    </xf>
    <xf numFmtId="165" fontId="17" fillId="15" borderId="1" xfId="7" applyNumberFormat="1" applyFont="1" applyFill="1" applyBorder="1" applyAlignment="1">
      <alignment horizontal="right" vertical="center" wrapText="1"/>
    </xf>
    <xf numFmtId="0" fontId="13" fillId="0" borderId="0" xfId="7" applyFont="1" applyAlignment="1">
      <alignment vertical="center" wrapText="1"/>
    </xf>
    <xf numFmtId="165" fontId="7" fillId="0" borderId="1" xfId="7" applyNumberFormat="1" applyFont="1" applyBorder="1" applyAlignment="1">
      <alignment horizontal="left" vertical="center" wrapText="1"/>
    </xf>
    <xf numFmtId="165" fontId="7" fillId="8" borderId="1" xfId="7" applyNumberFormat="1" applyFont="1" applyFill="1" applyBorder="1" applyAlignment="1">
      <alignment horizontal="right" vertical="center"/>
    </xf>
    <xf numFmtId="165" fontId="5" fillId="2" borderId="1" xfId="7" applyNumberFormat="1" applyFont="1" applyFill="1" applyBorder="1" applyAlignment="1">
      <alignment horizontal="right" vertical="center"/>
    </xf>
    <xf numFmtId="0" fontId="7" fillId="0" borderId="1" xfId="7" applyFont="1" applyBorder="1" applyAlignment="1">
      <alignment horizontal="right" vertical="center"/>
    </xf>
    <xf numFmtId="165" fontId="25" fillId="8" borderId="1" xfId="7" applyNumberFormat="1" applyFont="1" applyFill="1" applyBorder="1" applyAlignment="1">
      <alignment horizontal="right" vertical="center" wrapText="1"/>
    </xf>
    <xf numFmtId="165" fontId="16" fillId="2" borderId="1" xfId="7" applyNumberFormat="1" applyFont="1" applyFill="1" applyBorder="1" applyAlignment="1">
      <alignment horizontal="right" vertical="center"/>
    </xf>
    <xf numFmtId="165" fontId="25" fillId="8" borderId="1" xfId="7" applyNumberFormat="1" applyFont="1" applyFill="1" applyBorder="1" applyAlignment="1">
      <alignment horizontal="right" vertical="center"/>
    </xf>
    <xf numFmtId="0" fontId="14" fillId="0" borderId="1" xfId="7" applyFont="1" applyBorder="1" applyAlignment="1">
      <alignment vertical="center" wrapText="1"/>
    </xf>
    <xf numFmtId="0" fontId="14" fillId="0" borderId="1" xfId="7" applyFont="1" applyBorder="1" applyAlignment="1">
      <alignment horizontal="left" vertical="center" wrapText="1"/>
    </xf>
    <xf numFmtId="165" fontId="16" fillId="15" borderId="1" xfId="7" applyNumberFormat="1" applyFont="1" applyFill="1" applyBorder="1" applyAlignment="1">
      <alignment horizontal="center" vertical="center" wrapText="1"/>
    </xf>
    <xf numFmtId="165" fontId="5" fillId="15" borderId="1" xfId="7" applyNumberFormat="1" applyFont="1" applyFill="1" applyBorder="1" applyAlignment="1">
      <alignment horizontal="center" vertical="center" wrapText="1"/>
    </xf>
    <xf numFmtId="165" fontId="12" fillId="13" borderId="1" xfId="7" applyNumberFormat="1" applyFont="1" applyFill="1" applyBorder="1" applyAlignment="1">
      <alignment horizontal="left" vertical="center" wrapText="1"/>
    </xf>
    <xf numFmtId="0" fontId="26" fillId="0" borderId="1" xfId="8" applyFont="1" applyBorder="1" applyAlignment="1">
      <alignment horizontal="left" vertical="center" wrapText="1"/>
    </xf>
    <xf numFmtId="165" fontId="7" fillId="0" borderId="1" xfId="8" applyNumberFormat="1" applyFont="1" applyBorder="1" applyAlignment="1">
      <alignment horizontal="left" vertical="center" wrapText="1"/>
    </xf>
    <xf numFmtId="165" fontId="7" fillId="2" borderId="3" xfId="7" applyNumberFormat="1" applyFont="1" applyFill="1" applyBorder="1" applyAlignment="1">
      <alignment horizontal="left" vertical="center" wrapText="1"/>
    </xf>
    <xf numFmtId="0" fontId="14" fillId="20" borderId="1" xfId="7" applyFont="1" applyFill="1" applyBorder="1" applyAlignment="1">
      <alignment vertical="center" wrapText="1"/>
    </xf>
    <xf numFmtId="0" fontId="7" fillId="2" borderId="6" xfId="7" applyFont="1" applyFill="1" applyBorder="1" applyAlignment="1">
      <alignment horizontal="right" vertical="center"/>
    </xf>
    <xf numFmtId="0" fontId="13" fillId="0" borderId="1" xfId="7" applyFont="1" applyBorder="1" applyAlignment="1">
      <alignment vertical="center" wrapText="1"/>
    </xf>
    <xf numFmtId="165" fontId="5" fillId="0" borderId="6" xfId="7" applyNumberFormat="1" applyFont="1" applyBorder="1" applyAlignment="1">
      <alignment horizontal="right" vertical="center"/>
    </xf>
    <xf numFmtId="165" fontId="7" fillId="0" borderId="10" xfId="8" applyNumberFormat="1" applyFont="1" applyBorder="1" applyAlignment="1">
      <alignment vertical="center" wrapText="1"/>
    </xf>
    <xf numFmtId="0" fontId="7" fillId="2" borderId="1" xfId="8" applyFont="1" applyFill="1" applyBorder="1" applyAlignment="1">
      <alignment horizontal="left" vertical="center" wrapText="1"/>
    </xf>
    <xf numFmtId="0" fontId="14" fillId="0" borderId="1" xfId="7" applyFont="1" applyBorder="1" applyAlignment="1" applyProtection="1">
      <alignment vertical="center" wrapText="1" readingOrder="1"/>
      <protection locked="0"/>
    </xf>
    <xf numFmtId="165" fontId="7" fillId="0" borderId="1" xfId="6" applyNumberFormat="1" applyFont="1" applyBorder="1" applyAlignment="1">
      <alignment horizontal="left" vertical="center" wrapText="1"/>
    </xf>
    <xf numFmtId="0" fontId="7" fillId="2" borderId="0" xfId="7" applyFont="1" applyFill="1" applyAlignment="1">
      <alignment vertical="center"/>
    </xf>
    <xf numFmtId="0" fontId="7" fillId="2" borderId="0" xfId="7" applyFont="1" applyFill="1" applyAlignment="1">
      <alignment horizontal="left" vertical="center"/>
    </xf>
    <xf numFmtId="0" fontId="7" fillId="2" borderId="0" xfId="7" applyFont="1" applyFill="1" applyAlignment="1">
      <alignment horizontal="right" vertical="center"/>
    </xf>
    <xf numFmtId="0" fontId="5" fillId="2" borderId="0" xfId="7" applyFont="1" applyFill="1" applyAlignment="1">
      <alignment horizontal="right" vertical="center"/>
    </xf>
    <xf numFmtId="0" fontId="16" fillId="2" borderId="0" xfId="7" applyFont="1" applyFill="1" applyAlignment="1">
      <alignment horizontal="right" vertical="center"/>
    </xf>
    <xf numFmtId="165" fontId="7" fillId="2" borderId="0" xfId="7" applyNumberFormat="1" applyFont="1" applyFill="1" applyAlignment="1">
      <alignment horizontal="right" vertical="center"/>
    </xf>
    <xf numFmtId="0" fontId="12" fillId="0" borderId="0" xfId="7" applyFont="1" applyAlignment="1">
      <alignment horizontal="center" vertical="center"/>
    </xf>
    <xf numFmtId="0" fontId="12" fillId="0" borderId="0" xfId="7" applyFont="1" applyAlignment="1">
      <alignment vertical="center"/>
    </xf>
    <xf numFmtId="0" fontId="12" fillId="0" borderId="0" xfId="7" applyFont="1" applyAlignment="1">
      <alignment horizontal="center" vertical="center" wrapText="1"/>
    </xf>
    <xf numFmtId="0" fontId="23" fillId="0" borderId="0" xfId="7" applyFont="1" applyAlignment="1">
      <alignment vertical="center"/>
    </xf>
    <xf numFmtId="0" fontId="5" fillId="0" borderId="0" xfId="7" applyFont="1" applyAlignment="1">
      <alignment vertical="center"/>
    </xf>
    <xf numFmtId="0" fontId="16" fillId="0" borderId="0" xfId="7" applyFont="1" applyAlignment="1">
      <alignment vertical="center"/>
    </xf>
    <xf numFmtId="165" fontId="7" fillId="0" borderId="0" xfId="7" applyNumberFormat="1" applyFont="1" applyAlignment="1">
      <alignment vertical="center"/>
    </xf>
    <xf numFmtId="165" fontId="5" fillId="7" borderId="1" xfId="7" applyNumberFormat="1" applyFont="1" applyFill="1" applyBorder="1" applyAlignment="1">
      <alignment horizontal="center" vertical="center" wrapText="1"/>
    </xf>
    <xf numFmtId="0" fontId="12" fillId="0" borderId="0" xfId="7" applyFont="1" applyAlignment="1">
      <alignment horizontal="left" vertical="center"/>
    </xf>
    <xf numFmtId="0" fontId="15" fillId="12" borderId="1" xfId="7" applyFont="1" applyFill="1" applyBorder="1" applyAlignment="1" applyProtection="1">
      <alignment horizontal="left" vertical="center" readingOrder="1"/>
      <protection locked="0"/>
    </xf>
    <xf numFmtId="0" fontId="14" fillId="2" borderId="1" xfId="7" applyFont="1" applyFill="1" applyBorder="1" applyAlignment="1" applyProtection="1">
      <alignment horizontal="left" vertical="center" readingOrder="1"/>
      <protection locked="0"/>
    </xf>
    <xf numFmtId="0" fontId="15" fillId="14" borderId="1" xfId="7" applyFont="1" applyFill="1" applyBorder="1" applyAlignment="1" applyProtection="1">
      <alignment horizontal="left" vertical="center" readingOrder="1"/>
      <protection locked="0"/>
    </xf>
    <xf numFmtId="0" fontId="14" fillId="0" borderId="1" xfId="7" applyFont="1" applyBorder="1" applyAlignment="1" applyProtection="1">
      <alignment horizontal="left" vertical="center" readingOrder="1"/>
      <protection locked="0"/>
    </xf>
    <xf numFmtId="0" fontId="15" fillId="12" borderId="1" xfId="5" applyFont="1" applyFill="1" applyBorder="1" applyAlignment="1" applyProtection="1">
      <alignment horizontal="center" vertical="center" wrapText="1" readingOrder="1"/>
      <protection locked="0"/>
    </xf>
    <xf numFmtId="0" fontId="15" fillId="14" borderId="1" xfId="5" applyFont="1" applyFill="1" applyBorder="1" applyAlignment="1" applyProtection="1">
      <alignment horizontal="center" vertical="center" wrapText="1" readingOrder="1"/>
      <protection locked="0"/>
    </xf>
    <xf numFmtId="165" fontId="5" fillId="0" borderId="1" xfId="6" applyNumberFormat="1" applyFont="1" applyBorder="1" applyAlignment="1">
      <alignment horizontal="center" vertical="center" wrapText="1"/>
    </xf>
    <xf numFmtId="2" fontId="5" fillId="0" borderId="1" xfId="6" applyNumberFormat="1" applyFont="1" applyBorder="1" applyAlignment="1">
      <alignment horizontal="center" vertical="top" wrapText="1"/>
    </xf>
    <xf numFmtId="0" fontId="15" fillId="12" borderId="1" xfId="7" applyFont="1" applyFill="1" applyBorder="1" applyAlignment="1" applyProtection="1">
      <alignment horizontal="center" vertical="center" wrapText="1" readingOrder="1"/>
      <protection locked="0"/>
    </xf>
    <xf numFmtId="0" fontId="15" fillId="14" borderId="1" xfId="7" applyFont="1" applyFill="1" applyBorder="1" applyAlignment="1" applyProtection="1">
      <alignment horizontal="center" vertical="center" wrapText="1" readingOrder="1"/>
      <protection locked="0"/>
    </xf>
    <xf numFmtId="165" fontId="5" fillId="0" borderId="1" xfId="7" applyNumberFormat="1" applyFont="1" applyBorder="1" applyAlignment="1">
      <alignment horizontal="center" vertical="center" wrapText="1"/>
    </xf>
    <xf numFmtId="0" fontId="7" fillId="2" borderId="2" xfId="7" applyFont="1" applyFill="1" applyBorder="1" applyAlignment="1">
      <alignment horizontal="left" vertical="center"/>
    </xf>
    <xf numFmtId="49" fontId="7" fillId="0" borderId="1" xfId="6" applyNumberFormat="1" applyFont="1" applyBorder="1" applyAlignment="1">
      <alignment horizontal="center" vertical="top" wrapText="1"/>
    </xf>
    <xf numFmtId="165" fontId="5" fillId="8" borderId="1" xfId="7" applyNumberFormat="1" applyFont="1" applyFill="1" applyBorder="1" applyAlignment="1">
      <alignment horizontal="right" vertical="top" wrapText="1"/>
    </xf>
    <xf numFmtId="0" fontId="5" fillId="2" borderId="0" xfId="7" applyFont="1" applyFill="1" applyAlignment="1">
      <alignment vertical="center"/>
    </xf>
    <xf numFmtId="0" fontId="12" fillId="13" borderId="1" xfId="7" applyFont="1" applyFill="1" applyBorder="1" applyAlignment="1">
      <alignment vertical="top" wrapText="1"/>
    </xf>
    <xf numFmtId="0" fontId="5" fillId="13" borderId="1" xfId="7" applyFont="1" applyFill="1" applyBorder="1" applyAlignment="1">
      <alignment horizontal="left" vertical="top" wrapText="1"/>
    </xf>
    <xf numFmtId="165" fontId="17" fillId="13" borderId="1" xfId="7" applyNumberFormat="1" applyFont="1" applyFill="1" applyBorder="1" applyAlignment="1">
      <alignment horizontal="right" vertical="top" wrapText="1"/>
    </xf>
    <xf numFmtId="0" fontId="12" fillId="15" borderId="1" xfId="7" applyFont="1" applyFill="1" applyBorder="1" applyAlignment="1">
      <alignment vertical="top" wrapText="1"/>
    </xf>
    <xf numFmtId="0" fontId="5" fillId="15" borderId="1" xfId="7" applyFont="1" applyFill="1" applyBorder="1" applyAlignment="1">
      <alignment horizontal="left" vertical="top" wrapText="1"/>
    </xf>
    <xf numFmtId="0" fontId="7" fillId="2" borderId="1" xfId="7" applyFont="1" applyFill="1" applyBorder="1" applyAlignment="1" applyProtection="1">
      <alignment vertical="top" wrapText="1" readingOrder="1"/>
      <protection locked="0"/>
    </xf>
    <xf numFmtId="0" fontId="5" fillId="8" borderId="1" xfId="7" applyFont="1" applyFill="1" applyBorder="1" applyAlignment="1">
      <alignment horizontal="right" vertical="top"/>
    </xf>
    <xf numFmtId="0" fontId="7" fillId="2" borderId="1" xfId="7" applyFont="1" applyFill="1" applyBorder="1" applyAlignment="1">
      <alignment vertical="top"/>
    </xf>
    <xf numFmtId="0" fontId="16" fillId="3" borderId="1" xfId="7" applyFont="1" applyFill="1" applyBorder="1" applyAlignment="1">
      <alignment vertical="top"/>
    </xf>
    <xf numFmtId="165" fontId="7" fillId="3" borderId="1" xfId="7" applyNumberFormat="1" applyFont="1" applyFill="1" applyBorder="1" applyAlignment="1">
      <alignment vertical="top"/>
    </xf>
    <xf numFmtId="165" fontId="7" fillId="2" borderId="1" xfId="7" applyNumberFormat="1" applyFont="1" applyFill="1" applyBorder="1" applyAlignment="1">
      <alignment vertical="top"/>
    </xf>
    <xf numFmtId="165" fontId="16" fillId="3" borderId="1" xfId="7" applyNumberFormat="1" applyFont="1" applyFill="1" applyBorder="1" applyAlignment="1">
      <alignment vertical="top"/>
    </xf>
    <xf numFmtId="165" fontId="5" fillId="3" borderId="1" xfId="7" applyNumberFormat="1" applyFont="1" applyFill="1" applyBorder="1" applyAlignment="1">
      <alignment vertical="top"/>
    </xf>
    <xf numFmtId="165" fontId="7" fillId="16" borderId="1" xfId="7" applyNumberFormat="1" applyFont="1" applyFill="1" applyBorder="1" applyAlignment="1">
      <alignment vertical="top"/>
    </xf>
    <xf numFmtId="0" fontId="5" fillId="14" borderId="1" xfId="7" applyFont="1" applyFill="1" applyBorder="1" applyAlignment="1" applyProtection="1">
      <alignment vertical="top" wrapText="1" readingOrder="1"/>
      <protection locked="0"/>
    </xf>
    <xf numFmtId="0" fontId="5" fillId="15" borderId="1" xfId="7" applyFont="1" applyFill="1" applyBorder="1" applyAlignment="1">
      <alignment horizontal="right" vertical="top"/>
    </xf>
    <xf numFmtId="165" fontId="5" fillId="15" borderId="1" xfId="7" applyNumberFormat="1" applyFont="1" applyFill="1" applyBorder="1" applyAlignment="1">
      <alignment horizontal="right" vertical="top"/>
    </xf>
    <xf numFmtId="165" fontId="17" fillId="15" borderId="1" xfId="7" applyNumberFormat="1" applyFont="1" applyFill="1" applyBorder="1" applyAlignment="1">
      <alignment horizontal="right" vertical="top"/>
    </xf>
    <xf numFmtId="0" fontId="7" fillId="0" borderId="1" xfId="7" applyFont="1" applyBorder="1" applyAlignment="1">
      <alignment vertical="top" wrapText="1"/>
    </xf>
    <xf numFmtId="0" fontId="5" fillId="12" borderId="1" xfId="7" applyFont="1" applyFill="1" applyBorder="1" applyAlignment="1" applyProtection="1">
      <alignment vertical="top" wrapText="1" readingOrder="1"/>
      <protection locked="0"/>
    </xf>
    <xf numFmtId="0" fontId="5" fillId="13" borderId="1" xfId="7" applyFont="1" applyFill="1" applyBorder="1" applyAlignment="1">
      <alignment horizontal="right" vertical="top"/>
    </xf>
    <xf numFmtId="165" fontId="5" fillId="13" borderId="1" xfId="7" applyNumberFormat="1" applyFont="1" applyFill="1" applyBorder="1" applyAlignment="1">
      <alignment horizontal="right" vertical="top"/>
    </xf>
    <xf numFmtId="165" fontId="17" fillId="13" borderId="1" xfId="7" applyNumberFormat="1" applyFont="1" applyFill="1" applyBorder="1" applyAlignment="1">
      <alignment horizontal="right" vertical="top"/>
    </xf>
    <xf numFmtId="0" fontId="7" fillId="0" borderId="1" xfId="7" applyFont="1" applyBorder="1" applyAlignment="1">
      <alignment horizontal="left" vertical="top"/>
    </xf>
    <xf numFmtId="0" fontId="7" fillId="2" borderId="1" xfId="7" applyFont="1" applyFill="1" applyBorder="1" applyAlignment="1">
      <alignment horizontal="left" vertical="top"/>
    </xf>
    <xf numFmtId="165" fontId="5" fillId="17" borderId="1" xfId="7" applyNumberFormat="1" applyFont="1" applyFill="1" applyBorder="1" applyAlignment="1">
      <alignment horizontal="right" vertical="top" wrapText="1"/>
    </xf>
    <xf numFmtId="165" fontId="5" fillId="2" borderId="1" xfId="7" applyNumberFormat="1" applyFont="1" applyFill="1" applyBorder="1" applyAlignment="1">
      <alignment vertical="top"/>
    </xf>
    <xf numFmtId="0" fontId="7" fillId="2" borderId="1" xfId="7" applyFont="1" applyFill="1" applyBorder="1" applyAlignment="1">
      <alignment horizontal="left" vertical="top" wrapText="1"/>
    </xf>
    <xf numFmtId="165" fontId="5" fillId="0" borderId="1" xfId="7" applyNumberFormat="1" applyFont="1" applyBorder="1" applyAlignment="1">
      <alignment vertical="top"/>
    </xf>
    <xf numFmtId="0" fontId="5" fillId="23" borderId="1" xfId="7" applyFont="1" applyFill="1" applyBorder="1" applyAlignment="1">
      <alignment horizontal="right" vertical="top"/>
    </xf>
    <xf numFmtId="165" fontId="5" fillId="23" borderId="1" xfId="7" applyNumberFormat="1" applyFont="1" applyFill="1" applyBorder="1" applyAlignment="1">
      <alignment horizontal="right" vertical="top"/>
    </xf>
    <xf numFmtId="0" fontId="5" fillId="3" borderId="1" xfId="7" applyFont="1" applyFill="1" applyBorder="1" applyAlignment="1">
      <alignment vertical="top"/>
    </xf>
    <xf numFmtId="0" fontId="7" fillId="3" borderId="1" xfId="7" applyFont="1" applyFill="1" applyBorder="1" applyAlignment="1">
      <alignment vertical="top"/>
    </xf>
    <xf numFmtId="0" fontId="5" fillId="2" borderId="0" xfId="7" applyFont="1" applyFill="1" applyAlignment="1">
      <alignment vertical="top"/>
    </xf>
    <xf numFmtId="0" fontId="16" fillId="2" borderId="0" xfId="7" applyFont="1" applyFill="1" applyAlignment="1">
      <alignment vertical="top"/>
    </xf>
    <xf numFmtId="165" fontId="7" fillId="2" borderId="0" xfId="7" applyNumberFormat="1" applyFont="1" applyFill="1" applyAlignment="1">
      <alignment vertical="top"/>
    </xf>
    <xf numFmtId="0" fontId="12" fillId="0" borderId="0" xfId="7" applyFont="1" applyAlignment="1">
      <alignment horizontal="center" vertical="top"/>
    </xf>
    <xf numFmtId="0" fontId="12" fillId="0" borderId="0" xfId="7" applyFont="1" applyAlignment="1">
      <alignment vertical="top"/>
    </xf>
    <xf numFmtId="0" fontId="13" fillId="0" borderId="0" xfId="7" applyFont="1" applyAlignment="1">
      <alignment vertical="top"/>
    </xf>
    <xf numFmtId="0" fontId="5" fillId="0" borderId="0" xfId="7" applyFont="1" applyAlignment="1">
      <alignment horizontal="center" vertical="top" wrapText="1"/>
    </xf>
    <xf numFmtId="0" fontId="5" fillId="0" borderId="0" xfId="7" applyFont="1" applyAlignment="1">
      <alignment horizontal="center" vertical="top"/>
    </xf>
    <xf numFmtId="0" fontId="23" fillId="0" borderId="0" xfId="7" applyFont="1" applyAlignment="1">
      <alignment vertical="top"/>
    </xf>
    <xf numFmtId="0" fontId="16" fillId="0" borderId="0" xfId="7" applyFont="1" applyAlignment="1">
      <alignment vertical="top"/>
    </xf>
    <xf numFmtId="165" fontId="7" fillId="0" borderId="0" xfId="7" applyNumberFormat="1" applyFont="1" applyAlignment="1">
      <alignment vertical="top"/>
    </xf>
    <xf numFmtId="0" fontId="13" fillId="0" borderId="1" xfId="7" applyFont="1" applyBorder="1" applyAlignment="1">
      <alignment horizontal="left" vertical="top" wrapText="1"/>
    </xf>
    <xf numFmtId="0" fontId="13" fillId="21" borderId="1" xfId="7" applyFont="1" applyFill="1" applyBorder="1" applyAlignment="1">
      <alignment vertical="top"/>
    </xf>
    <xf numFmtId="165" fontId="5" fillId="22" borderId="1" xfId="7" applyNumberFormat="1" applyFont="1" applyFill="1" applyBorder="1" applyAlignment="1">
      <alignment vertical="top"/>
    </xf>
    <xf numFmtId="0" fontId="13" fillId="0" borderId="1" xfId="7" applyFont="1" applyBorder="1" applyAlignment="1">
      <alignment horizontal="left" vertical="top"/>
    </xf>
    <xf numFmtId="0" fontId="13" fillId="0" borderId="1" xfId="7" applyFont="1" applyBorder="1" applyAlignment="1">
      <alignment vertical="top"/>
    </xf>
    <xf numFmtId="0" fontId="7" fillId="2" borderId="2" xfId="7" applyFont="1" applyFill="1" applyBorder="1" applyAlignment="1">
      <alignment vertical="top"/>
    </xf>
    <xf numFmtId="0" fontId="7" fillId="7" borderId="0" xfId="7" applyFont="1" applyFill="1" applyAlignment="1">
      <alignment horizontal="center" vertical="center"/>
    </xf>
    <xf numFmtId="165" fontId="5" fillId="13" borderId="1" xfId="7" applyNumberFormat="1" applyFont="1" applyFill="1" applyBorder="1" applyAlignment="1">
      <alignment horizontal="center" vertical="center" wrapText="1"/>
    </xf>
    <xf numFmtId="0" fontId="5" fillId="14" borderId="1" xfId="7" applyFont="1" applyFill="1" applyBorder="1" applyAlignment="1" applyProtection="1">
      <alignment horizontal="center" vertical="center" wrapText="1" readingOrder="1"/>
      <protection locked="0"/>
    </xf>
    <xf numFmtId="0" fontId="5" fillId="12" borderId="1" xfId="7" applyFont="1" applyFill="1" applyBorder="1" applyAlignment="1" applyProtection="1">
      <alignment horizontal="center" vertical="center" wrapText="1" readingOrder="1"/>
      <protection locked="0"/>
    </xf>
    <xf numFmtId="0" fontId="21" fillId="0" borderId="0" xfId="0" applyFont="1" applyAlignment="1">
      <alignment horizontal="center" vertical="center" wrapText="1"/>
    </xf>
    <xf numFmtId="0" fontId="22" fillId="24" borderId="4" xfId="0" applyFont="1" applyFill="1" applyBorder="1" applyAlignment="1">
      <alignment horizontal="right" vertical="center" wrapText="1"/>
    </xf>
    <xf numFmtId="0" fontId="22" fillId="24" borderId="6" xfId="0" applyFont="1" applyFill="1" applyBorder="1" applyAlignment="1">
      <alignment horizontal="right" vertical="center" wrapText="1"/>
    </xf>
    <xf numFmtId="165" fontId="5" fillId="0" borderId="7" xfId="4" applyNumberFormat="1" applyFont="1" applyBorder="1" applyAlignment="1">
      <alignment horizontal="center" vertical="center" wrapText="1"/>
    </xf>
    <xf numFmtId="165" fontId="5" fillId="0" borderId="9" xfId="4" applyNumberFormat="1" applyFont="1" applyBorder="1" applyAlignment="1">
      <alignment horizontal="center" vertical="center" wrapText="1"/>
    </xf>
    <xf numFmtId="165" fontId="5" fillId="0" borderId="11" xfId="4" applyNumberFormat="1" applyFont="1" applyBorder="1" applyAlignment="1">
      <alignment horizontal="center" vertical="center" wrapText="1"/>
    </xf>
    <xf numFmtId="165" fontId="5" fillId="0" borderId="0" xfId="4" applyNumberFormat="1" applyFont="1" applyAlignment="1">
      <alignment horizontal="center" vertical="center" wrapText="1"/>
    </xf>
    <xf numFmtId="165" fontId="5" fillId="0" borderId="13" xfId="4" applyNumberFormat="1" applyFont="1" applyBorder="1" applyAlignment="1">
      <alignment horizontal="center" vertical="center" wrapText="1"/>
    </xf>
    <xf numFmtId="165" fontId="5" fillId="0" borderId="2" xfId="4" applyNumberFormat="1" applyFont="1" applyBorder="1" applyAlignment="1">
      <alignment horizontal="center" vertical="center" wrapText="1"/>
    </xf>
    <xf numFmtId="165" fontId="5" fillId="0" borderId="3" xfId="4" applyNumberFormat="1" applyFont="1" applyBorder="1" applyAlignment="1">
      <alignment horizontal="center" vertical="top" wrapText="1"/>
    </xf>
    <xf numFmtId="165" fontId="5" fillId="0" borderId="10" xfId="4" applyNumberFormat="1" applyFont="1" applyBorder="1" applyAlignment="1">
      <alignment horizontal="center" vertical="top" wrapText="1"/>
    </xf>
    <xf numFmtId="0" fontId="5" fillId="0" borderId="3" xfId="6" applyFont="1" applyBorder="1" applyAlignment="1">
      <alignment horizontal="center" vertical="center" wrapText="1"/>
    </xf>
    <xf numFmtId="0" fontId="5" fillId="0" borderId="8"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1" xfId="6" applyFont="1" applyBorder="1" applyAlignment="1">
      <alignment horizontal="center" vertical="center" wrapText="1"/>
    </xf>
    <xf numFmtId="0" fontId="12" fillId="0" borderId="1" xfId="5" applyFont="1" applyBorder="1" applyAlignment="1">
      <alignment horizontal="center" vertical="center" wrapText="1"/>
    </xf>
    <xf numFmtId="0" fontId="12" fillId="0" borderId="4" xfId="5" applyFont="1" applyBorder="1" applyAlignment="1">
      <alignment horizontal="center" wrapText="1"/>
    </xf>
    <xf numFmtId="0" fontId="12" fillId="0" borderId="5" xfId="5" applyFont="1" applyBorder="1" applyAlignment="1">
      <alignment horizontal="center" wrapText="1"/>
    </xf>
    <xf numFmtId="0" fontId="12" fillId="0" borderId="6" xfId="5" applyFont="1" applyBorder="1" applyAlignment="1">
      <alignment horizontal="center" wrapText="1"/>
    </xf>
    <xf numFmtId="0" fontId="12" fillId="0" borderId="4" xfId="5" applyFont="1" applyBorder="1" applyAlignment="1">
      <alignment horizontal="center" vertical="center" wrapText="1"/>
    </xf>
    <xf numFmtId="0" fontId="12" fillId="0" borderId="6" xfId="5" applyFont="1" applyBorder="1" applyAlignment="1">
      <alignment horizontal="center" vertical="center" wrapText="1"/>
    </xf>
    <xf numFmtId="0" fontId="12" fillId="0" borderId="5" xfId="5" applyFont="1" applyBorder="1" applyAlignment="1">
      <alignment horizontal="center" vertical="center" wrapText="1"/>
    </xf>
    <xf numFmtId="0" fontId="5" fillId="0" borderId="1" xfId="7" applyFont="1" applyBorder="1" applyAlignment="1">
      <alignment horizontal="center" vertical="center" wrapText="1"/>
    </xf>
    <xf numFmtId="0" fontId="12" fillId="0" borderId="1" xfId="7" applyFont="1" applyBorder="1" applyAlignment="1">
      <alignment horizontal="center" vertical="center" wrapText="1"/>
    </xf>
    <xf numFmtId="165" fontId="5" fillId="0" borderId="1" xfId="4" applyNumberFormat="1" applyFont="1" applyBorder="1" applyAlignment="1">
      <alignment horizontal="center" vertical="center" wrapText="1"/>
    </xf>
    <xf numFmtId="165" fontId="5" fillId="0" borderId="1" xfId="4" applyNumberFormat="1" applyFont="1" applyBorder="1" applyAlignment="1">
      <alignment horizontal="center" vertical="top" wrapText="1"/>
    </xf>
    <xf numFmtId="0" fontId="0" fillId="0" borderId="1" xfId="0" applyBorder="1"/>
    <xf numFmtId="0" fontId="7" fillId="2" borderId="1" xfId="3" applyNumberFormat="1" applyFont="1" applyFill="1" applyBorder="1" applyAlignment="1" applyProtection="1">
      <alignment horizontal="center" vertical="center" wrapText="1"/>
    </xf>
    <xf numFmtId="0" fontId="3" fillId="2" borderId="0" xfId="1" applyFont="1" applyFill="1" applyAlignment="1">
      <alignment horizontal="center" vertical="center" wrapText="1"/>
    </xf>
    <xf numFmtId="164" fontId="6" fillId="2" borderId="2" xfId="1" applyNumberFormat="1" applyFont="1" applyFill="1" applyBorder="1" applyAlignment="1">
      <alignment horizontal="right" vertical="center"/>
    </xf>
    <xf numFmtId="0" fontId="18" fillId="0" borderId="2" xfId="0" applyFont="1" applyBorder="1" applyAlignment="1">
      <alignment horizontal="right" vertical="center" wrapText="1"/>
    </xf>
  </cellXfs>
  <cellStyles count="9">
    <cellStyle name="Įprastas" xfId="0" builtinId="0"/>
    <cellStyle name="Įprastas 2" xfId="1" xr:uid="{80433645-26B0-4D78-8866-07F352A1FEF9}"/>
    <cellStyle name="Įprastas 2 2" xfId="7" xr:uid="{EAFF1A7C-9377-4FA2-85D6-C1716F2A5C93}"/>
    <cellStyle name="Įprastas 2 3" xfId="8" xr:uid="{67A9B6A4-436A-410B-B6C3-8B482D28BA91}"/>
    <cellStyle name="Įprastas 3" xfId="5" xr:uid="{B1043CDA-D681-4630-897B-603C9998603D}"/>
    <cellStyle name="Normal 2" xfId="6" xr:uid="{7F88DDF0-5E08-4415-AD99-82E52646F978}"/>
    <cellStyle name="Normal_SAVAPYSsssss" xfId="2" xr:uid="{F616BAF1-907D-409F-BFC6-82C1D937C380}"/>
    <cellStyle name="Normal_Sheet1 2" xfId="4" xr:uid="{71790BAC-ED71-447E-93FD-AE3586B94F50}"/>
    <cellStyle name="Procentai 2" xfId="3" xr:uid="{5EBC94FA-E255-4AA8-82FF-C93DBBD252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r>
              <a:rPr lang="lt-LT" sz="2000" b="1">
                <a:solidFill>
                  <a:sysClr val="windowText" lastClr="000000"/>
                </a:solidFill>
              </a:rPr>
              <a:t>2025 m. asignavimai programoms  vykdyti</a:t>
            </a:r>
          </a:p>
        </c:rich>
      </c:tx>
      <c:layout>
        <c:manualLayout>
          <c:xMode val="edge"/>
          <c:yMode val="edge"/>
          <c:x val="0.30369482223812932"/>
          <c:y val="6.6555740432612314E-3"/>
        </c:manualLayout>
      </c:layout>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2895164963883637E-2"/>
          <c:y val="6.8413536494294283E-2"/>
          <c:w val="0.92078143641135768"/>
          <c:h val="0.72090173420502135"/>
        </c:manualLayout>
      </c:layout>
      <c:pie3DChart>
        <c:varyColors val="1"/>
        <c:ser>
          <c:idx val="0"/>
          <c:order val="0"/>
          <c:spPr>
            <a:solidFill>
              <a:schemeClr val="accent4">
                <a:lumMod val="20000"/>
                <a:lumOff val="80000"/>
              </a:schemeClr>
            </a:solidFill>
            <a:ln>
              <a:solidFill>
                <a:srgbClr val="002060"/>
              </a:solidFill>
            </a:ln>
          </c:spPr>
          <c:dPt>
            <c:idx val="0"/>
            <c:bubble3D val="0"/>
            <c:spPr>
              <a:solidFill>
                <a:schemeClr val="accent1">
                  <a:lumMod val="60000"/>
                  <a:lumOff val="40000"/>
                </a:schemeClr>
              </a:solidFill>
              <a:ln w="25400">
                <a:solidFill>
                  <a:srgbClr val="002060"/>
                </a:solidFill>
              </a:ln>
              <a:effectLst/>
              <a:sp3d contourW="25400">
                <a:contourClr>
                  <a:srgbClr val="002060"/>
                </a:contourClr>
              </a:sp3d>
            </c:spPr>
            <c:extLst>
              <c:ext xmlns:c16="http://schemas.microsoft.com/office/drawing/2014/chart" uri="{C3380CC4-5D6E-409C-BE32-E72D297353CC}">
                <c16:uniqueId val="{00000002-3CFE-4A66-BE95-1F2110C6EA8C}"/>
              </c:ext>
            </c:extLst>
          </c:dPt>
          <c:dPt>
            <c:idx val="1"/>
            <c:bubble3D val="0"/>
            <c:spPr>
              <a:solidFill>
                <a:schemeClr val="accent6">
                  <a:lumMod val="40000"/>
                  <a:lumOff val="60000"/>
                </a:schemeClr>
              </a:solidFill>
              <a:ln w="25400">
                <a:solidFill>
                  <a:srgbClr val="002060"/>
                </a:solidFill>
              </a:ln>
              <a:effectLst/>
              <a:sp3d contourW="25400">
                <a:contourClr>
                  <a:srgbClr val="002060"/>
                </a:contourClr>
              </a:sp3d>
            </c:spPr>
            <c:extLst>
              <c:ext xmlns:c16="http://schemas.microsoft.com/office/drawing/2014/chart" uri="{C3380CC4-5D6E-409C-BE32-E72D297353CC}">
                <c16:uniqueId val="{00000001-3CFE-4A66-BE95-1F2110C6EA8C}"/>
              </c:ext>
            </c:extLst>
          </c:dPt>
          <c:dPt>
            <c:idx val="2"/>
            <c:bubble3D val="0"/>
            <c:spPr>
              <a:solidFill>
                <a:schemeClr val="accent4">
                  <a:lumMod val="20000"/>
                  <a:lumOff val="80000"/>
                </a:schemeClr>
              </a:solidFill>
              <a:ln w="25400">
                <a:solidFill>
                  <a:srgbClr val="002060"/>
                </a:solidFill>
              </a:ln>
              <a:effectLst/>
              <a:sp3d contourW="25400">
                <a:contourClr>
                  <a:srgbClr val="002060"/>
                </a:contourClr>
              </a:sp3d>
            </c:spPr>
            <c:extLst>
              <c:ext xmlns:c16="http://schemas.microsoft.com/office/drawing/2014/chart" uri="{C3380CC4-5D6E-409C-BE32-E72D297353CC}">
                <c16:uniqueId val="{00000003-3CFE-4A66-BE95-1F2110C6EA8C}"/>
              </c:ext>
            </c:extLst>
          </c:dPt>
          <c:dLbls>
            <c:dLbl>
              <c:idx val="0"/>
              <c:layout>
                <c:manualLayout>
                  <c:x val="-0.16768822802108413"/>
                  <c:y val="0.1092018988475026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CFE-4A66-BE95-1F2110C6EA8C}"/>
                </c:ext>
              </c:extLst>
            </c:dLbl>
            <c:dLbl>
              <c:idx val="1"/>
              <c:layout>
                <c:manualLayout>
                  <c:x val="-0.22177252120344462"/>
                  <c:y val="-0.2505563343683537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CFE-4A66-BE95-1F2110C6EA8C}"/>
                </c:ext>
              </c:extLst>
            </c:dLbl>
            <c:dLbl>
              <c:idx val="2"/>
              <c:layout>
                <c:manualLayout>
                  <c:x val="0.27835459100670268"/>
                  <c:y val="-9.3772321721016197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CFE-4A66-BE95-1F2110C6EA8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'2025-2027 asignavimai iš viso'!$C$5:$C$7</c:f>
              <c:strCache>
                <c:ptCount val="3"/>
                <c:pt idx="0">
                  <c:v>DARNAUS TERITORIJŲ IR INFRASTRUKTŪROS VYSTYMO PROGRAMA</c:v>
                </c:pt>
                <c:pt idx="1">
                  <c:v>ADMINISTRAVIMO IR VIEŠŲJŲ PASLAUGŲ TEIKIMO PROGRAMA</c:v>
                </c:pt>
                <c:pt idx="2">
                  <c:v>SUMANIOS IR PILIETIŠKOS VISUOMENĖS UGDYMO PROGRAMA</c:v>
                </c:pt>
              </c:strCache>
            </c:strRef>
          </c:cat>
          <c:val>
            <c:numRef>
              <c:f>'2025-2027 asignavimai iš viso'!$D$5:$D$7</c:f>
              <c:numCache>
                <c:formatCode>General</c:formatCode>
                <c:ptCount val="3"/>
                <c:pt idx="0">
                  <c:v>32257.9</c:v>
                </c:pt>
                <c:pt idx="1">
                  <c:v>32711.5</c:v>
                </c:pt>
                <c:pt idx="2">
                  <c:v>68299.500000000015</c:v>
                </c:pt>
              </c:numCache>
            </c:numRef>
          </c:val>
          <c:extLst>
            <c:ext xmlns:c16="http://schemas.microsoft.com/office/drawing/2014/chart" uri="{C3380CC4-5D6E-409C-BE32-E72D297353CC}">
              <c16:uniqueId val="{00000000-3CFE-4A66-BE95-1F2110C6EA8C}"/>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1.4099477234767117E-4"/>
          <c:y val="0.78403553133229398"/>
          <c:w val="0.99985900522765236"/>
          <c:h val="0.21314659294875993"/>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r>
              <a:rPr lang="lt-LT" sz="2000" b="1">
                <a:solidFill>
                  <a:sysClr val="windowText" lastClr="000000"/>
                </a:solidFill>
              </a:rPr>
              <a:t>2025-2027 m. asignavimai programoms  vykdyti</a:t>
            </a:r>
          </a:p>
        </c:rich>
      </c:tx>
      <c:layout>
        <c:manualLayout>
          <c:xMode val="edge"/>
          <c:yMode val="edge"/>
          <c:x val="0.25229142200745691"/>
          <c:y val="1.0314109867215555E-2"/>
        </c:manualLayout>
      </c:layout>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endParaRPr lang="lt-LT"/>
        </a:p>
      </c:txPr>
    </c:title>
    <c:autoTitleDeleted val="0"/>
    <c:plotArea>
      <c:layout/>
      <c:barChart>
        <c:barDir val="col"/>
        <c:grouping val="clustered"/>
        <c:varyColors val="0"/>
        <c:ser>
          <c:idx val="0"/>
          <c:order val="0"/>
          <c:tx>
            <c:strRef>
              <c:f>'2025-2027 asignavimai iš viso'!$C$5</c:f>
              <c:strCache>
                <c:ptCount val="1"/>
                <c:pt idx="0">
                  <c:v>DARNAUS TERITORIJŲ IR INFRASTRUKTŪROS VYSTYMO PROGRAMA</c:v>
                </c:pt>
              </c:strCache>
            </c:strRef>
          </c:tx>
          <c:spPr>
            <a:solidFill>
              <a:schemeClr val="accent1"/>
            </a:solidFill>
            <a:ln w="19050">
              <a:solidFill>
                <a:srgbClr val="00206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'2025-2027 asignavimai iš viso'!$D$4:$F$4</c:f>
              <c:strCache>
                <c:ptCount val="3"/>
                <c:pt idx="0">
                  <c:v>2025 m. projektas</c:v>
                </c:pt>
                <c:pt idx="1">
                  <c:v>2026 m. projektas</c:v>
                </c:pt>
                <c:pt idx="2">
                  <c:v>2027 m. projektas</c:v>
                </c:pt>
              </c:strCache>
            </c:strRef>
          </c:cat>
          <c:val>
            <c:numRef>
              <c:f>'2025-2027 asignavimai iš viso'!$D$5:$F$5</c:f>
              <c:numCache>
                <c:formatCode>General</c:formatCode>
                <c:ptCount val="3"/>
                <c:pt idx="0">
                  <c:v>32257.9</c:v>
                </c:pt>
                <c:pt idx="1">
                  <c:v>28347.8</c:v>
                </c:pt>
                <c:pt idx="2">
                  <c:v>26314.2</c:v>
                </c:pt>
              </c:numCache>
            </c:numRef>
          </c:val>
          <c:extLst>
            <c:ext xmlns:c16="http://schemas.microsoft.com/office/drawing/2014/chart" uri="{C3380CC4-5D6E-409C-BE32-E72D297353CC}">
              <c16:uniqueId val="{00000000-C594-4F20-AC2F-FF8B67AC27BE}"/>
            </c:ext>
          </c:extLst>
        </c:ser>
        <c:ser>
          <c:idx val="1"/>
          <c:order val="1"/>
          <c:tx>
            <c:strRef>
              <c:f>'2025-2027 asignavimai iš viso'!$C$6</c:f>
              <c:strCache>
                <c:ptCount val="1"/>
                <c:pt idx="0">
                  <c:v>ADMINISTRAVIMO IR VIEŠŲJŲ PASLAUGŲ TEIKIMO PROGRAMA</c:v>
                </c:pt>
              </c:strCache>
            </c:strRef>
          </c:tx>
          <c:spPr>
            <a:solidFill>
              <a:schemeClr val="accent2"/>
            </a:solidFill>
            <a:ln w="19050">
              <a:solidFill>
                <a:srgbClr val="00206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'2025-2027 asignavimai iš viso'!$D$4:$F$4</c:f>
              <c:strCache>
                <c:ptCount val="3"/>
                <c:pt idx="0">
                  <c:v>2025 m. projektas</c:v>
                </c:pt>
                <c:pt idx="1">
                  <c:v>2026 m. projektas</c:v>
                </c:pt>
                <c:pt idx="2">
                  <c:v>2027 m. projektas</c:v>
                </c:pt>
              </c:strCache>
            </c:strRef>
          </c:cat>
          <c:val>
            <c:numRef>
              <c:f>'2025-2027 asignavimai iš viso'!$D$6:$F$6</c:f>
              <c:numCache>
                <c:formatCode>General</c:formatCode>
                <c:ptCount val="3"/>
                <c:pt idx="0">
                  <c:v>32711.5</c:v>
                </c:pt>
                <c:pt idx="1">
                  <c:v>32658.400000000001</c:v>
                </c:pt>
                <c:pt idx="2">
                  <c:v>33385.5</c:v>
                </c:pt>
              </c:numCache>
            </c:numRef>
          </c:val>
          <c:extLst>
            <c:ext xmlns:c16="http://schemas.microsoft.com/office/drawing/2014/chart" uri="{C3380CC4-5D6E-409C-BE32-E72D297353CC}">
              <c16:uniqueId val="{00000001-C594-4F20-AC2F-FF8B67AC27BE}"/>
            </c:ext>
          </c:extLst>
        </c:ser>
        <c:ser>
          <c:idx val="2"/>
          <c:order val="2"/>
          <c:tx>
            <c:strRef>
              <c:f>'2025-2027 asignavimai iš viso'!$C$7</c:f>
              <c:strCache>
                <c:ptCount val="1"/>
                <c:pt idx="0">
                  <c:v>SUMANIOS IR PILIETIŠKOS VISUOMENĖS UGDYMO PROGRAMA</c:v>
                </c:pt>
              </c:strCache>
            </c:strRef>
          </c:tx>
          <c:spPr>
            <a:solidFill>
              <a:schemeClr val="accent3"/>
            </a:solidFill>
            <a:ln w="19050">
              <a:solidFill>
                <a:srgbClr val="00206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'2025-2027 asignavimai iš viso'!$D$4:$F$4</c:f>
              <c:strCache>
                <c:ptCount val="3"/>
                <c:pt idx="0">
                  <c:v>2025 m. projektas</c:v>
                </c:pt>
                <c:pt idx="1">
                  <c:v>2026 m. projektas</c:v>
                </c:pt>
                <c:pt idx="2">
                  <c:v>2027 m. projektas</c:v>
                </c:pt>
              </c:strCache>
            </c:strRef>
          </c:cat>
          <c:val>
            <c:numRef>
              <c:f>'2025-2027 asignavimai iš viso'!$D$7:$F$7</c:f>
              <c:numCache>
                <c:formatCode>General</c:formatCode>
                <c:ptCount val="3"/>
                <c:pt idx="0">
                  <c:v>68299.500000000015</c:v>
                </c:pt>
                <c:pt idx="1">
                  <c:v>67893.100000000006</c:v>
                </c:pt>
                <c:pt idx="2">
                  <c:v>64340.7</c:v>
                </c:pt>
              </c:numCache>
            </c:numRef>
          </c:val>
          <c:extLst>
            <c:ext xmlns:c16="http://schemas.microsoft.com/office/drawing/2014/chart" uri="{C3380CC4-5D6E-409C-BE32-E72D297353CC}">
              <c16:uniqueId val="{00000002-C594-4F20-AC2F-FF8B67AC27BE}"/>
            </c:ext>
          </c:extLst>
        </c:ser>
        <c:dLbls>
          <c:showLegendKey val="0"/>
          <c:showVal val="0"/>
          <c:showCatName val="0"/>
          <c:showSerName val="0"/>
          <c:showPercent val="0"/>
          <c:showBubbleSize val="0"/>
        </c:dLbls>
        <c:gapWidth val="94"/>
        <c:overlap val="-10"/>
        <c:axId val="42794128"/>
        <c:axId val="42807088"/>
      </c:barChart>
      <c:catAx>
        <c:axId val="427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lt-LT"/>
          </a:p>
        </c:txPr>
        <c:crossAx val="42807088"/>
        <c:crosses val="autoZero"/>
        <c:auto val="1"/>
        <c:lblAlgn val="ctr"/>
        <c:lblOffset val="100"/>
        <c:noMultiLvlLbl val="0"/>
      </c:catAx>
      <c:valAx>
        <c:axId val="42807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lt-LT"/>
          </a:p>
        </c:txPr>
        <c:crossAx val="42794128"/>
        <c:crosses val="autoZero"/>
        <c:crossBetween val="between"/>
      </c:valAx>
      <c:spPr>
        <a:noFill/>
        <a:ln>
          <a:noFill/>
        </a:ln>
        <a:effectLst/>
      </c:spPr>
    </c:plotArea>
    <c:legend>
      <c:legendPos val="b"/>
      <c:layout>
        <c:manualLayout>
          <c:xMode val="edge"/>
          <c:yMode val="edge"/>
          <c:x val="1.152109042604391E-2"/>
          <c:y val="0.86216627098714949"/>
          <c:w val="0.98673764190234159"/>
          <c:h val="0.12457772584393509"/>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57150</xdr:colOff>
      <xdr:row>8</xdr:row>
      <xdr:rowOff>28575</xdr:rowOff>
    </xdr:from>
    <xdr:to>
      <xdr:col>3</xdr:col>
      <xdr:colOff>533400</xdr:colOff>
      <xdr:row>31</xdr:row>
      <xdr:rowOff>152399</xdr:rowOff>
    </xdr:to>
    <xdr:graphicFrame macro="">
      <xdr:nvGraphicFramePr>
        <xdr:cNvPr id="2" name="Diagrama 1">
          <a:extLst>
            <a:ext uri="{FF2B5EF4-FFF2-40B4-BE49-F238E27FC236}">
              <a16:creationId xmlns:a16="http://schemas.microsoft.com/office/drawing/2014/main" id="{1AFECF6C-7799-B95F-CE5B-DA5DE35DF1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561975</xdr:colOff>
      <xdr:row>8</xdr:row>
      <xdr:rowOff>52386</xdr:rowOff>
    </xdr:from>
    <xdr:to>
      <xdr:col>14</xdr:col>
      <xdr:colOff>304800</xdr:colOff>
      <xdr:row>33</xdr:row>
      <xdr:rowOff>85725</xdr:rowOff>
    </xdr:to>
    <xdr:graphicFrame macro="">
      <xdr:nvGraphicFramePr>
        <xdr:cNvPr id="4" name="Diagrama 3">
          <a:extLst>
            <a:ext uri="{FF2B5EF4-FFF2-40B4-BE49-F238E27FC236}">
              <a16:creationId xmlns:a16="http://schemas.microsoft.com/office/drawing/2014/main" id="{8714F28B-0802-B43D-545F-1E3A1A188C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vaiksnoras\Desktop\2025%20m.%20BIUD&#381;ETAS%20MAKSIMAL&#362;S%20komitetams.xlsx" TargetMode="External"/><Relationship Id="rId1" Type="http://schemas.openxmlformats.org/officeDocument/2006/relationships/externalLinkPath" Target="/Users/m.vaiksnoras/Desktop/2025%20m.%20BIUD&#381;ETAS%20MAKSIMAL&#362;S%20komiteta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2 m. pajamos"/>
      <sheetName val="demograf. rodikl."/>
      <sheetName val="proc"/>
      <sheetName val="Įstat. pokyčiai 2025 m"/>
      <sheetName val="komunal-kainu didej."/>
      <sheetName val="įstaigu por. DU del TA"/>
      <sheetName val="2025 -2024 paj trumpa"/>
      <sheetName val="2025-2027 paj trumpa (2)"/>
      <sheetName val="paj analize 2025-2024"/>
      <sheetName val="2021 paj"/>
      <sheetName val="2025 m paj"/>
      <sheetName val="Kontroliniai dydžiai "/>
      <sheetName val="2025 m. asgnavimai iš viso"/>
      <sheetName val="31 pr.2025"/>
      <sheetName val="32 pr.2025"/>
      <sheetName val="33 pr.2025"/>
      <sheetName val="24 programa"/>
      <sheetName val=" 25 programa"/>
      <sheetName val="26 programa"/>
      <sheetName val="27 programa"/>
      <sheetName val="28 programa"/>
      <sheetName val="29 programa"/>
      <sheetName val="30 programa"/>
      <sheetName val="islaidu diagramos"/>
      <sheetName val="budžeto pristatymui"/>
      <sheetName val="islaidu diagramos2025"/>
      <sheetName val="kopija"/>
      <sheetName val="Lapas1"/>
    </sheetNames>
    <sheetDataSet>
      <sheetData sheetId="0"/>
      <sheetData sheetId="1"/>
      <sheetData sheetId="2"/>
      <sheetData sheetId="3"/>
      <sheetData sheetId="4"/>
      <sheetData sheetId="5"/>
      <sheetData sheetId="6"/>
      <sheetData sheetId="7"/>
      <sheetData sheetId="8"/>
      <sheetData sheetId="9"/>
      <sheetData sheetId="10"/>
      <sheetData sheetId="11">
        <row r="6">
          <cell r="Q6">
            <v>17638.157439999995</v>
          </cell>
        </row>
        <row r="7">
          <cell r="Q7">
            <v>26290.772480000003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2"/>
  <sheetViews>
    <sheetView topLeftCell="A8" workbookViewId="0">
      <selection activeCell="H7" sqref="H7"/>
    </sheetView>
  </sheetViews>
  <sheetFormatPr defaultRowHeight="15" x14ac:dyDescent="0.25"/>
  <cols>
    <col min="1" max="1" width="77" customWidth="1"/>
    <col min="2" max="4" width="12.140625" customWidth="1"/>
  </cols>
  <sheetData>
    <row r="1" spans="1:4" ht="37.5" customHeight="1" x14ac:dyDescent="0.25">
      <c r="A1" s="358" t="s">
        <v>797</v>
      </c>
      <c r="B1" s="358"/>
      <c r="C1" s="358"/>
      <c r="D1" s="358"/>
    </row>
    <row r="2" spans="1:4" ht="15.75" x14ac:dyDescent="0.25">
      <c r="A2" s="1"/>
      <c r="B2" s="359" t="s">
        <v>0</v>
      </c>
      <c r="C2" s="359"/>
      <c r="D2" s="359"/>
    </row>
    <row r="3" spans="1:4" ht="15.75" x14ac:dyDescent="0.25">
      <c r="A3" s="2" t="s">
        <v>1</v>
      </c>
      <c r="B3" s="3" t="s">
        <v>103</v>
      </c>
      <c r="C3" s="3" t="s">
        <v>795</v>
      </c>
      <c r="D3" s="3" t="s">
        <v>796</v>
      </c>
    </row>
    <row r="4" spans="1:4" ht="15.75" x14ac:dyDescent="0.25">
      <c r="A4" s="4" t="s">
        <v>2</v>
      </c>
      <c r="B4" s="357">
        <v>50.64</v>
      </c>
      <c r="C4" s="356"/>
      <c r="D4" s="356"/>
    </row>
    <row r="5" spans="1:4" ht="15.75" x14ac:dyDescent="0.25">
      <c r="A5" s="5" t="s">
        <v>3</v>
      </c>
      <c r="B5" s="6">
        <f>B6+B19+B23</f>
        <v>58425</v>
      </c>
      <c r="C5" s="6">
        <f t="shared" ref="C5:D5" si="0">C6+C19+C23</f>
        <v>62723</v>
      </c>
      <c r="D5" s="6">
        <f t="shared" si="0"/>
        <v>66474</v>
      </c>
    </row>
    <row r="6" spans="1:4" ht="15.75" x14ac:dyDescent="0.25">
      <c r="A6" s="7" t="s">
        <v>4</v>
      </c>
      <c r="B6" s="8">
        <f>B7+B18</f>
        <v>56930</v>
      </c>
      <c r="C6" s="8">
        <f t="shared" ref="C6:D6" si="1">C7+C18</f>
        <v>61188</v>
      </c>
      <c r="D6" s="8">
        <f t="shared" si="1"/>
        <v>64939</v>
      </c>
    </row>
    <row r="7" spans="1:4" ht="15.75" x14ac:dyDescent="0.25">
      <c r="A7" s="9" t="s">
        <v>5</v>
      </c>
      <c r="B7" s="8">
        <f>B8+B9+B10+B11+B12+B13+B14+B15+B16+B17</f>
        <v>56815</v>
      </c>
      <c r="C7" s="8">
        <v>61075</v>
      </c>
      <c r="D7" s="8">
        <v>64826</v>
      </c>
    </row>
    <row r="8" spans="1:4" ht="15.75" x14ac:dyDescent="0.25">
      <c r="A8" s="9" t="s">
        <v>6</v>
      </c>
      <c r="B8" s="10">
        <v>39895</v>
      </c>
      <c r="C8" s="356"/>
      <c r="D8" s="356"/>
    </row>
    <row r="9" spans="1:4" ht="15.75" x14ac:dyDescent="0.25">
      <c r="A9" s="9" t="s">
        <v>7</v>
      </c>
      <c r="B9" s="10">
        <v>2731</v>
      </c>
      <c r="C9" s="356"/>
      <c r="D9" s="356"/>
    </row>
    <row r="10" spans="1:4" ht="15.75" x14ac:dyDescent="0.25">
      <c r="A10" s="9" t="s">
        <v>8</v>
      </c>
      <c r="B10" s="10">
        <v>3232</v>
      </c>
      <c r="C10" s="356"/>
      <c r="D10" s="356"/>
    </row>
    <row r="11" spans="1:4" ht="15.75" x14ac:dyDescent="0.25">
      <c r="A11" s="9" t="s">
        <v>9</v>
      </c>
      <c r="B11" s="10">
        <v>10367</v>
      </c>
      <c r="C11" s="356"/>
      <c r="D11" s="356"/>
    </row>
    <row r="12" spans="1:4" ht="15.75" hidden="1" x14ac:dyDescent="0.25">
      <c r="A12" s="9" t="s">
        <v>10</v>
      </c>
      <c r="B12" s="10"/>
      <c r="C12" s="356"/>
      <c r="D12" s="356"/>
    </row>
    <row r="13" spans="1:4" ht="15.75" hidden="1" x14ac:dyDescent="0.25">
      <c r="A13" s="9" t="s">
        <v>11</v>
      </c>
      <c r="B13" s="10"/>
      <c r="C13" s="356"/>
      <c r="D13" s="356"/>
    </row>
    <row r="14" spans="1:4" ht="15.75" hidden="1" x14ac:dyDescent="0.25">
      <c r="A14" s="9" t="s">
        <v>12</v>
      </c>
      <c r="B14" s="10"/>
      <c r="C14" s="356"/>
      <c r="D14" s="356"/>
    </row>
    <row r="15" spans="1:4" ht="15.75" hidden="1" x14ac:dyDescent="0.25">
      <c r="A15" s="9" t="s">
        <v>13</v>
      </c>
      <c r="B15" s="10"/>
      <c r="C15" s="356"/>
      <c r="D15" s="356"/>
    </row>
    <row r="16" spans="1:4" ht="15.75" x14ac:dyDescent="0.25">
      <c r="A16" s="9" t="s">
        <v>14</v>
      </c>
      <c r="B16" s="10">
        <v>72</v>
      </c>
      <c r="C16" s="356"/>
      <c r="D16" s="356"/>
    </row>
    <row r="17" spans="1:4" ht="15.75" x14ac:dyDescent="0.25">
      <c r="A17" s="9" t="s">
        <v>104</v>
      </c>
      <c r="B17" s="10">
        <v>518</v>
      </c>
      <c r="C17" s="356"/>
      <c r="D17" s="356"/>
    </row>
    <row r="18" spans="1:4" ht="15.75" x14ac:dyDescent="0.25">
      <c r="A18" s="9" t="s">
        <v>15</v>
      </c>
      <c r="B18" s="10">
        <v>115</v>
      </c>
      <c r="C18" s="10">
        <v>113</v>
      </c>
      <c r="D18" s="10">
        <v>113</v>
      </c>
    </row>
    <row r="19" spans="1:4" ht="15.75" x14ac:dyDescent="0.25">
      <c r="A19" s="7" t="s">
        <v>16</v>
      </c>
      <c r="B19" s="8">
        <f>B20+B21+B22</f>
        <v>1345</v>
      </c>
      <c r="C19" s="8">
        <f t="shared" ref="C19:D19" si="2">C20+C21+C22</f>
        <v>1345</v>
      </c>
      <c r="D19" s="8">
        <f t="shared" si="2"/>
        <v>1345</v>
      </c>
    </row>
    <row r="20" spans="1:4" ht="15.75" x14ac:dyDescent="0.25">
      <c r="A20" s="12" t="s">
        <v>17</v>
      </c>
      <c r="B20" s="10">
        <v>270</v>
      </c>
      <c r="C20" s="10">
        <v>270</v>
      </c>
      <c r="D20" s="10">
        <v>270</v>
      </c>
    </row>
    <row r="21" spans="1:4" ht="15.75" x14ac:dyDescent="0.25">
      <c r="A21" s="12" t="s">
        <v>18</v>
      </c>
      <c r="B21" s="10">
        <v>25</v>
      </c>
      <c r="C21" s="10">
        <v>25</v>
      </c>
      <c r="D21" s="10">
        <v>25</v>
      </c>
    </row>
    <row r="22" spans="1:4" ht="15.75" x14ac:dyDescent="0.25">
      <c r="A22" s="12" t="s">
        <v>19</v>
      </c>
      <c r="B22" s="10">
        <v>1050</v>
      </c>
      <c r="C22" s="10">
        <v>1050</v>
      </c>
      <c r="D22" s="10">
        <v>1050</v>
      </c>
    </row>
    <row r="23" spans="1:4" ht="15.75" x14ac:dyDescent="0.25">
      <c r="A23" s="7" t="s">
        <v>20</v>
      </c>
      <c r="B23" s="8">
        <f>B24</f>
        <v>150</v>
      </c>
      <c r="C23" s="8">
        <f t="shared" ref="C23:D23" si="3">C24</f>
        <v>190</v>
      </c>
      <c r="D23" s="8">
        <f t="shared" si="3"/>
        <v>190</v>
      </c>
    </row>
    <row r="24" spans="1:4" ht="15.75" x14ac:dyDescent="0.25">
      <c r="A24" s="12" t="s">
        <v>21</v>
      </c>
      <c r="B24" s="10">
        <v>150</v>
      </c>
      <c r="C24" s="10">
        <v>190</v>
      </c>
      <c r="D24" s="10">
        <v>190</v>
      </c>
    </row>
    <row r="25" spans="1:4" ht="15.75" x14ac:dyDescent="0.25">
      <c r="A25" s="5" t="s">
        <v>22</v>
      </c>
      <c r="B25" s="6">
        <f>B26+B27+B28+B29+B54+B55+B56+B57+B58+B59+B60+B61+B62+B63+B64+B65+B68+B66+B69+B70+B71+B72+B73+B74+B76+B80+B77+B67+B75+B78+B79</f>
        <v>61062.1</v>
      </c>
      <c r="C25" s="6">
        <f t="shared" ref="C25:D25" si="4">C26+C27+C28+C29+C54+C55+C56+C57+C58+C59+C60+C61+C62+C63+C64+C65+C68+C66+C69+C70+C71+C72+C73+C74+C76+C80+C77+C67+C75+C78+C79</f>
        <v>57053.19999999999</v>
      </c>
      <c r="D25" s="6">
        <f>D26+D27+D28+D29+D54+D55+D56+D57+D58+D59+D60+D61+D62+D63+D64+D65+D68+D66+D69+D70+D71+D72+D73+D74+D76+D80+D77+D67+D75+D78+D79</f>
        <v>48645.1</v>
      </c>
    </row>
    <row r="26" spans="1:4" ht="15.75" x14ac:dyDescent="0.25">
      <c r="A26" s="13" t="s">
        <v>23</v>
      </c>
      <c r="B26" s="8">
        <v>17637.5</v>
      </c>
      <c r="C26" s="8">
        <v>12590.8</v>
      </c>
      <c r="D26" s="8">
        <v>4135.1000000000004</v>
      </c>
    </row>
    <row r="27" spans="1:4" ht="15.75" hidden="1" x14ac:dyDescent="0.25">
      <c r="A27" s="14" t="s">
        <v>24</v>
      </c>
      <c r="B27" s="8"/>
      <c r="C27" s="356"/>
      <c r="D27" s="356"/>
    </row>
    <row r="28" spans="1:4" ht="15.75" x14ac:dyDescent="0.25">
      <c r="A28" s="14" t="s">
        <v>25</v>
      </c>
      <c r="B28" s="11">
        <v>31554.400000000001</v>
      </c>
      <c r="C28" s="11">
        <v>32072.1</v>
      </c>
      <c r="D28" s="11">
        <v>31848.7</v>
      </c>
    </row>
    <row r="29" spans="1:4" ht="15.75" x14ac:dyDescent="0.25">
      <c r="A29" s="13" t="s">
        <v>26</v>
      </c>
      <c r="B29" s="15">
        <f>SUM(B30:B53)</f>
        <v>7563.6999999999989</v>
      </c>
      <c r="C29" s="15">
        <f t="shared" ref="C29:D29" si="5">SUM(C30:C53)</f>
        <v>8052.5999999999995</v>
      </c>
      <c r="D29" s="15">
        <f t="shared" si="5"/>
        <v>8092.5999999999995</v>
      </c>
    </row>
    <row r="30" spans="1:4" ht="31.5" x14ac:dyDescent="0.25">
      <c r="A30" s="12" t="s">
        <v>27</v>
      </c>
      <c r="B30" s="10">
        <v>618.70000000000005</v>
      </c>
      <c r="C30" s="17">
        <v>630</v>
      </c>
      <c r="D30" s="17">
        <v>630</v>
      </c>
    </row>
    <row r="31" spans="1:4" ht="31.5" hidden="1" x14ac:dyDescent="0.25">
      <c r="A31" s="12" t="s">
        <v>28</v>
      </c>
      <c r="B31" s="10"/>
      <c r="C31" s="17"/>
      <c r="D31" s="17"/>
    </row>
    <row r="32" spans="1:4" ht="15.75" x14ac:dyDescent="0.25">
      <c r="A32" s="16" t="s">
        <v>29</v>
      </c>
      <c r="B32" s="17">
        <v>0.9</v>
      </c>
      <c r="C32" s="17">
        <v>0.9</v>
      </c>
      <c r="D32" s="17">
        <v>0.9</v>
      </c>
    </row>
    <row r="33" spans="1:4" ht="15.75" x14ac:dyDescent="0.25">
      <c r="A33" s="16" t="s">
        <v>30</v>
      </c>
      <c r="B33" s="17">
        <v>34.9</v>
      </c>
      <c r="C33" s="17">
        <v>34.9</v>
      </c>
      <c r="D33" s="17">
        <v>34.9</v>
      </c>
    </row>
    <row r="34" spans="1:4" ht="15.75" x14ac:dyDescent="0.25">
      <c r="A34" s="16" t="s">
        <v>31</v>
      </c>
      <c r="B34" s="17">
        <v>22.5</v>
      </c>
      <c r="C34" s="17">
        <v>22.5</v>
      </c>
      <c r="D34" s="17">
        <v>22.5</v>
      </c>
    </row>
    <row r="35" spans="1:4" ht="31.5" x14ac:dyDescent="0.25">
      <c r="A35" s="16" t="s">
        <v>32</v>
      </c>
      <c r="B35" s="17">
        <v>1.4</v>
      </c>
      <c r="C35" s="17">
        <v>1.4</v>
      </c>
      <c r="D35" s="17">
        <v>1.4</v>
      </c>
    </row>
    <row r="36" spans="1:4" ht="15.75" x14ac:dyDescent="0.25">
      <c r="A36" s="18" t="s">
        <v>33</v>
      </c>
      <c r="B36" s="17">
        <v>17</v>
      </c>
      <c r="C36" s="17">
        <v>17</v>
      </c>
      <c r="D36" s="17">
        <v>17</v>
      </c>
    </row>
    <row r="37" spans="1:4" ht="15.75" x14ac:dyDescent="0.25">
      <c r="A37" s="16" t="s">
        <v>34</v>
      </c>
      <c r="B37" s="17">
        <v>43</v>
      </c>
      <c r="C37" s="17">
        <v>43</v>
      </c>
      <c r="D37" s="17">
        <v>43</v>
      </c>
    </row>
    <row r="38" spans="1:4" ht="15.75" x14ac:dyDescent="0.25">
      <c r="A38" s="16" t="s">
        <v>35</v>
      </c>
      <c r="B38" s="17">
        <v>21</v>
      </c>
      <c r="C38" s="17">
        <v>16.5</v>
      </c>
      <c r="D38" s="17">
        <v>16.5</v>
      </c>
    </row>
    <row r="39" spans="1:4" ht="15.75" x14ac:dyDescent="0.25">
      <c r="A39" s="16" t="s">
        <v>36</v>
      </c>
      <c r="B39" s="17">
        <v>34.4</v>
      </c>
      <c r="C39" s="17">
        <v>34.4</v>
      </c>
      <c r="D39" s="17">
        <v>34.4</v>
      </c>
    </row>
    <row r="40" spans="1:4" ht="15.75" x14ac:dyDescent="0.25">
      <c r="A40" s="16" t="s">
        <v>37</v>
      </c>
      <c r="B40" s="17">
        <v>6.3</v>
      </c>
      <c r="C40" s="17">
        <v>6.3</v>
      </c>
      <c r="D40" s="17">
        <v>6.3</v>
      </c>
    </row>
    <row r="41" spans="1:4" ht="15.75" x14ac:dyDescent="0.25">
      <c r="A41" s="16" t="s">
        <v>38</v>
      </c>
      <c r="B41" s="17">
        <v>345.6</v>
      </c>
      <c r="C41" s="17">
        <v>364.1</v>
      </c>
      <c r="D41" s="17">
        <v>364.1</v>
      </c>
    </row>
    <row r="42" spans="1:4" ht="15.75" x14ac:dyDescent="0.25">
      <c r="A42" s="16" t="s">
        <v>39</v>
      </c>
      <c r="B42" s="17">
        <v>10.4</v>
      </c>
      <c r="C42" s="17">
        <v>10.4</v>
      </c>
      <c r="D42" s="17">
        <v>10.4</v>
      </c>
    </row>
    <row r="43" spans="1:4" ht="31.5" x14ac:dyDescent="0.25">
      <c r="A43" s="16" t="s">
        <v>40</v>
      </c>
      <c r="B43" s="17">
        <v>0.3</v>
      </c>
      <c r="C43" s="17">
        <v>0.3</v>
      </c>
      <c r="D43" s="17">
        <v>0.3</v>
      </c>
    </row>
    <row r="44" spans="1:4" ht="15.75" x14ac:dyDescent="0.25">
      <c r="A44" s="16" t="s">
        <v>41</v>
      </c>
      <c r="B44" s="17">
        <v>4.2</v>
      </c>
      <c r="C44" s="17">
        <v>4.4000000000000004</v>
      </c>
      <c r="D44" s="17">
        <v>4.4000000000000004</v>
      </c>
    </row>
    <row r="45" spans="1:4" ht="15.75" x14ac:dyDescent="0.25">
      <c r="A45" s="16" t="s">
        <v>42</v>
      </c>
      <c r="B45" s="17">
        <v>28.4</v>
      </c>
      <c r="C45" s="17">
        <v>28.4</v>
      </c>
      <c r="D45" s="17">
        <v>28.4</v>
      </c>
    </row>
    <row r="46" spans="1:4" ht="31.5" x14ac:dyDescent="0.25">
      <c r="A46" s="16" t="s">
        <v>43</v>
      </c>
      <c r="B46" s="17">
        <v>5.4</v>
      </c>
      <c r="C46" s="17">
        <v>5.4</v>
      </c>
      <c r="D46" s="17">
        <v>5.4</v>
      </c>
    </row>
    <row r="47" spans="1:4" ht="31.5" hidden="1" x14ac:dyDescent="0.25">
      <c r="A47" s="16" t="s">
        <v>44</v>
      </c>
      <c r="B47" s="17"/>
      <c r="C47" s="17"/>
      <c r="D47" s="17"/>
    </row>
    <row r="48" spans="1:4" ht="15.75" x14ac:dyDescent="0.25">
      <c r="A48" s="16" t="s">
        <v>45</v>
      </c>
      <c r="B48" s="17">
        <v>140</v>
      </c>
      <c r="C48" s="17">
        <v>140.4</v>
      </c>
      <c r="D48" s="17">
        <v>140.4</v>
      </c>
    </row>
    <row r="49" spans="1:4" ht="15.75" x14ac:dyDescent="0.25">
      <c r="A49" s="16" t="s">
        <v>46</v>
      </c>
      <c r="B49" s="17">
        <v>1265.3</v>
      </c>
      <c r="C49" s="17">
        <v>1300.2</v>
      </c>
      <c r="D49" s="17">
        <v>1300.2</v>
      </c>
    </row>
    <row r="50" spans="1:4" ht="15.75" x14ac:dyDescent="0.25">
      <c r="A50" s="16" t="s">
        <v>47</v>
      </c>
      <c r="B50" s="17">
        <v>4895.3999999999996</v>
      </c>
      <c r="C50" s="17">
        <v>5323.5</v>
      </c>
      <c r="D50" s="17">
        <v>5363.5</v>
      </c>
    </row>
    <row r="51" spans="1:4" ht="15.75" x14ac:dyDescent="0.25">
      <c r="A51" s="16" t="s">
        <v>48</v>
      </c>
      <c r="B51" s="17">
        <v>6.9</v>
      </c>
      <c r="C51" s="17">
        <v>6.9</v>
      </c>
      <c r="D51" s="17">
        <v>6.9</v>
      </c>
    </row>
    <row r="52" spans="1:4" ht="15.75" x14ac:dyDescent="0.25">
      <c r="A52" s="16" t="s">
        <v>49</v>
      </c>
      <c r="B52" s="17">
        <v>17.8</v>
      </c>
      <c r="C52" s="17">
        <v>17.8</v>
      </c>
      <c r="D52" s="17">
        <v>17.8</v>
      </c>
    </row>
    <row r="53" spans="1:4" ht="31.5" x14ac:dyDescent="0.25">
      <c r="A53" s="16" t="s">
        <v>105</v>
      </c>
      <c r="B53" s="17">
        <v>43.9</v>
      </c>
      <c r="C53" s="17">
        <v>43.9</v>
      </c>
      <c r="D53" s="17">
        <v>43.9</v>
      </c>
    </row>
    <row r="54" spans="1:4" ht="15.75" x14ac:dyDescent="0.25">
      <c r="A54" s="13" t="s">
        <v>50</v>
      </c>
      <c r="B54" s="11">
        <v>214.6</v>
      </c>
      <c r="C54" s="8">
        <v>234.2</v>
      </c>
      <c r="D54" s="8">
        <v>234.2</v>
      </c>
    </row>
    <row r="55" spans="1:4" ht="14.25" hidden="1" customHeight="1" x14ac:dyDescent="0.25">
      <c r="A55" s="13" t="s">
        <v>51</v>
      </c>
      <c r="B55" s="11"/>
      <c r="C55" s="8"/>
      <c r="D55" s="8"/>
    </row>
    <row r="56" spans="1:4" ht="15.75" hidden="1" x14ac:dyDescent="0.25">
      <c r="A56" s="13" t="s">
        <v>52</v>
      </c>
      <c r="B56" s="11"/>
      <c r="C56" s="8"/>
      <c r="D56" s="8"/>
    </row>
    <row r="57" spans="1:4" ht="31.5" hidden="1" x14ac:dyDescent="0.25">
      <c r="A57" s="19" t="s">
        <v>53</v>
      </c>
      <c r="B57" s="11"/>
      <c r="C57" s="8"/>
      <c r="D57" s="8"/>
    </row>
    <row r="58" spans="1:4" ht="15.75" x14ac:dyDescent="0.25">
      <c r="A58" s="13" t="s">
        <v>54</v>
      </c>
      <c r="B58" s="11">
        <v>68</v>
      </c>
      <c r="C58" s="8">
        <v>69</v>
      </c>
      <c r="D58" s="8">
        <v>70</v>
      </c>
    </row>
    <row r="59" spans="1:4" ht="15.75" hidden="1" x14ac:dyDescent="0.25">
      <c r="A59" s="19" t="s">
        <v>55</v>
      </c>
      <c r="B59" s="10"/>
      <c r="C59" s="8"/>
      <c r="D59" s="8"/>
    </row>
    <row r="60" spans="1:4" ht="31.5" hidden="1" x14ac:dyDescent="0.25">
      <c r="A60" s="19" t="s">
        <v>56</v>
      </c>
      <c r="B60" s="10"/>
      <c r="C60" s="8"/>
      <c r="D60" s="8"/>
    </row>
    <row r="61" spans="1:4" ht="15.75" hidden="1" x14ac:dyDescent="0.25">
      <c r="A61" s="19" t="s">
        <v>57</v>
      </c>
      <c r="B61" s="11"/>
      <c r="C61" s="8"/>
      <c r="D61" s="8"/>
    </row>
    <row r="62" spans="1:4" ht="15.75" hidden="1" x14ac:dyDescent="0.25">
      <c r="A62" s="19" t="s">
        <v>58</v>
      </c>
      <c r="B62" s="11"/>
      <c r="C62" s="8"/>
      <c r="D62" s="8"/>
    </row>
    <row r="63" spans="1:4" ht="15.75" x14ac:dyDescent="0.25">
      <c r="A63" s="13" t="s">
        <v>59</v>
      </c>
      <c r="B63" s="11">
        <v>164.9</v>
      </c>
      <c r="C63" s="8">
        <v>172.9</v>
      </c>
      <c r="D63" s="8">
        <v>172.9</v>
      </c>
    </row>
    <row r="64" spans="1:4" ht="15.75" x14ac:dyDescent="0.25">
      <c r="A64" s="13" t="s">
        <v>60</v>
      </c>
      <c r="B64" s="11">
        <v>401.7</v>
      </c>
      <c r="C64" s="8">
        <v>431.7</v>
      </c>
      <c r="D64" s="8">
        <v>461.7</v>
      </c>
    </row>
    <row r="65" spans="1:4" ht="15.75" hidden="1" x14ac:dyDescent="0.25">
      <c r="A65" s="13" t="s">
        <v>61</v>
      </c>
      <c r="B65" s="11"/>
      <c r="C65" s="8"/>
      <c r="D65" s="8"/>
    </row>
    <row r="66" spans="1:4" ht="15.75" hidden="1" x14ac:dyDescent="0.25">
      <c r="A66" s="13" t="s">
        <v>62</v>
      </c>
      <c r="B66" s="11"/>
      <c r="C66" s="8"/>
      <c r="D66" s="8"/>
    </row>
    <row r="67" spans="1:4" ht="31.5" x14ac:dyDescent="0.25">
      <c r="A67" s="13" t="s">
        <v>106</v>
      </c>
      <c r="B67" s="11">
        <v>17.7</v>
      </c>
      <c r="C67" s="8">
        <v>0</v>
      </c>
      <c r="D67" s="8">
        <v>0</v>
      </c>
    </row>
    <row r="68" spans="1:4" ht="15.75" x14ac:dyDescent="0.25">
      <c r="A68" s="13" t="s">
        <v>63</v>
      </c>
      <c r="B68" s="11">
        <v>35</v>
      </c>
      <c r="C68" s="8">
        <v>36</v>
      </c>
      <c r="D68" s="8">
        <v>36</v>
      </c>
    </row>
    <row r="69" spans="1:4" ht="15.75" hidden="1" x14ac:dyDescent="0.25">
      <c r="A69" s="13" t="s">
        <v>64</v>
      </c>
      <c r="B69" s="11"/>
      <c r="C69" s="8"/>
      <c r="D69" s="8"/>
    </row>
    <row r="70" spans="1:4" ht="31.5" hidden="1" x14ac:dyDescent="0.25">
      <c r="A70" s="13" t="s">
        <v>65</v>
      </c>
      <c r="B70" s="11"/>
      <c r="C70" s="8"/>
      <c r="D70" s="8"/>
    </row>
    <row r="71" spans="1:4" ht="31.5" hidden="1" x14ac:dyDescent="0.25">
      <c r="A71" s="13" t="s">
        <v>66</v>
      </c>
      <c r="B71" s="11"/>
      <c r="C71" s="8"/>
      <c r="D71" s="8"/>
    </row>
    <row r="72" spans="1:4" ht="15.75" x14ac:dyDescent="0.25">
      <c r="A72" s="13" t="s">
        <v>67</v>
      </c>
      <c r="B72" s="11">
        <v>187.4</v>
      </c>
      <c r="C72" s="8">
        <v>193.4</v>
      </c>
      <c r="D72" s="8">
        <v>193.4</v>
      </c>
    </row>
    <row r="73" spans="1:4" ht="31.5" x14ac:dyDescent="0.25">
      <c r="A73" s="13" t="s">
        <v>68</v>
      </c>
      <c r="B73" s="11">
        <v>123.4</v>
      </c>
      <c r="C73" s="8">
        <v>125.6</v>
      </c>
      <c r="D73" s="8">
        <v>125.6</v>
      </c>
    </row>
    <row r="74" spans="1:4" ht="15.75" x14ac:dyDescent="0.25">
      <c r="A74" s="13" t="s">
        <v>69</v>
      </c>
      <c r="B74" s="11">
        <v>126.8</v>
      </c>
      <c r="C74" s="8">
        <v>126.8</v>
      </c>
      <c r="D74" s="8">
        <v>126.8</v>
      </c>
    </row>
    <row r="75" spans="1:4" ht="15.75" x14ac:dyDescent="0.25">
      <c r="A75" s="13" t="s">
        <v>107</v>
      </c>
      <c r="B75" s="11">
        <v>30</v>
      </c>
      <c r="C75" s="8">
        <v>35</v>
      </c>
      <c r="D75" s="8">
        <v>35</v>
      </c>
    </row>
    <row r="76" spans="1:4" ht="15.75" x14ac:dyDescent="0.25">
      <c r="A76" s="13" t="s">
        <v>70</v>
      </c>
      <c r="B76" s="11">
        <v>211.6</v>
      </c>
      <c r="C76" s="8">
        <v>184.1</v>
      </c>
      <c r="D76" s="8">
        <v>184.1</v>
      </c>
    </row>
    <row r="77" spans="1:4" ht="15.75" x14ac:dyDescent="0.25">
      <c r="A77" s="13" t="s">
        <v>71</v>
      </c>
      <c r="B77" s="11">
        <v>38</v>
      </c>
      <c r="C77" s="8">
        <v>39</v>
      </c>
      <c r="D77" s="8">
        <v>39</v>
      </c>
    </row>
    <row r="78" spans="1:4" ht="15.75" x14ac:dyDescent="0.25">
      <c r="A78" s="13" t="s">
        <v>108</v>
      </c>
      <c r="B78" s="11">
        <v>24.4</v>
      </c>
      <c r="C78" s="8">
        <v>25</v>
      </c>
      <c r="D78" s="8">
        <v>25</v>
      </c>
    </row>
    <row r="79" spans="1:4" ht="15.75" x14ac:dyDescent="0.25">
      <c r="A79" s="13" t="s">
        <v>109</v>
      </c>
      <c r="B79" s="11">
        <v>163</v>
      </c>
      <c r="C79" s="8">
        <v>165</v>
      </c>
      <c r="D79" s="8">
        <v>165</v>
      </c>
    </row>
    <row r="80" spans="1:4" ht="15.75" x14ac:dyDescent="0.25">
      <c r="A80" s="13" t="s">
        <v>72</v>
      </c>
      <c r="B80" s="8">
        <f>B81</f>
        <v>2500</v>
      </c>
      <c r="C80" s="8">
        <f t="shared" ref="C80:D80" si="6">C81</f>
        <v>2500</v>
      </c>
      <c r="D80" s="8">
        <f t="shared" si="6"/>
        <v>2700</v>
      </c>
    </row>
    <row r="81" spans="1:4" ht="15.75" x14ac:dyDescent="0.25">
      <c r="A81" s="12" t="s">
        <v>73</v>
      </c>
      <c r="B81" s="20">
        <v>2500</v>
      </c>
      <c r="C81" s="20">
        <v>2500</v>
      </c>
      <c r="D81" s="20">
        <v>2700</v>
      </c>
    </row>
    <row r="82" spans="1:4" ht="15.75" x14ac:dyDescent="0.25">
      <c r="A82" s="5" t="s">
        <v>74</v>
      </c>
      <c r="B82" s="6">
        <f>B83+B84+B85+B88+B97+B98+B100+B101+B99</f>
        <v>7339.8</v>
      </c>
      <c r="C82" s="6">
        <f>C83+C84+C85+C88+C97+C98+C100+C101+C99</f>
        <v>7391.9</v>
      </c>
      <c r="D82" s="6">
        <f>D83+D84+D85+D88+D97+D98+D100+D101+D99</f>
        <v>7401.6</v>
      </c>
    </row>
    <row r="83" spans="1:4" ht="15.75" hidden="1" x14ac:dyDescent="0.25">
      <c r="A83" s="9" t="s">
        <v>75</v>
      </c>
      <c r="B83" s="8"/>
      <c r="C83" s="356"/>
      <c r="D83" s="356"/>
    </row>
    <row r="84" spans="1:4" ht="15.75" hidden="1" x14ac:dyDescent="0.25">
      <c r="A84" s="9" t="s">
        <v>76</v>
      </c>
      <c r="B84" s="20"/>
      <c r="C84" s="356"/>
      <c r="D84" s="356"/>
    </row>
    <row r="85" spans="1:4" ht="15.75" x14ac:dyDescent="0.25">
      <c r="A85" s="7" t="s">
        <v>77</v>
      </c>
      <c r="B85" s="8">
        <f>B86+B87</f>
        <v>410</v>
      </c>
      <c r="C85" s="8">
        <f t="shared" ref="C85:D85" si="7">C86+C87</f>
        <v>522</v>
      </c>
      <c r="D85" s="8">
        <f t="shared" si="7"/>
        <v>522</v>
      </c>
    </row>
    <row r="86" spans="1:4" ht="31.5" x14ac:dyDescent="0.25">
      <c r="A86" s="9" t="s">
        <v>78</v>
      </c>
      <c r="B86" s="10">
        <v>370</v>
      </c>
      <c r="C86" s="10">
        <v>370</v>
      </c>
      <c r="D86" s="10">
        <v>370</v>
      </c>
    </row>
    <row r="87" spans="1:4" ht="15.75" x14ac:dyDescent="0.25">
      <c r="A87" s="9" t="s">
        <v>79</v>
      </c>
      <c r="B87" s="10">
        <v>40</v>
      </c>
      <c r="C87" s="10">
        <v>152</v>
      </c>
      <c r="D87" s="10">
        <v>152</v>
      </c>
    </row>
    <row r="88" spans="1:4" ht="15.75" x14ac:dyDescent="0.25">
      <c r="A88" s="13" t="s">
        <v>80</v>
      </c>
      <c r="B88" s="8">
        <f>B89+B93</f>
        <v>6102.3</v>
      </c>
      <c r="C88" s="8">
        <f t="shared" ref="C88:D88" si="8">C89+C93</f>
        <v>6112.4</v>
      </c>
      <c r="D88" s="8">
        <f t="shared" si="8"/>
        <v>6117.1</v>
      </c>
    </row>
    <row r="89" spans="1:4" ht="15.75" x14ac:dyDescent="0.25">
      <c r="A89" s="13" t="s">
        <v>81</v>
      </c>
      <c r="B89" s="8">
        <f>B90+B91+B92</f>
        <v>2985.3</v>
      </c>
      <c r="C89" s="8">
        <f t="shared" ref="C89:D89" si="9">C90+C91+C92</f>
        <v>2995.4</v>
      </c>
      <c r="D89" s="8">
        <f t="shared" si="9"/>
        <v>3000.1</v>
      </c>
    </row>
    <row r="90" spans="1:4" ht="15.75" x14ac:dyDescent="0.25">
      <c r="A90" s="12" t="s">
        <v>82</v>
      </c>
      <c r="B90" s="20">
        <v>603.4</v>
      </c>
      <c r="C90" s="20">
        <v>600.70000000000005</v>
      </c>
      <c r="D90" s="20">
        <v>602.70000000000005</v>
      </c>
    </row>
    <row r="91" spans="1:4" ht="15.75" x14ac:dyDescent="0.25">
      <c r="A91" s="12" t="s">
        <v>83</v>
      </c>
      <c r="B91" s="10">
        <v>289.5</v>
      </c>
      <c r="C91" s="10">
        <v>284.10000000000002</v>
      </c>
      <c r="D91" s="10">
        <v>284.2</v>
      </c>
    </row>
    <row r="92" spans="1:4" ht="15.75" x14ac:dyDescent="0.25">
      <c r="A92" s="12" t="s">
        <v>84</v>
      </c>
      <c r="B92" s="10">
        <v>2092.4</v>
      </c>
      <c r="C92" s="10">
        <v>2110.6</v>
      </c>
      <c r="D92" s="10">
        <v>2113.1999999999998</v>
      </c>
    </row>
    <row r="93" spans="1:4" ht="15.75" x14ac:dyDescent="0.25">
      <c r="A93" s="13" t="s">
        <v>85</v>
      </c>
      <c r="B93" s="11">
        <f>B94+B95+B96</f>
        <v>3117</v>
      </c>
      <c r="C93" s="11">
        <f t="shared" ref="C93:D93" si="10">C94+C95+C96</f>
        <v>3117</v>
      </c>
      <c r="D93" s="11">
        <f t="shared" si="10"/>
        <v>3117</v>
      </c>
    </row>
    <row r="94" spans="1:4" ht="15.75" x14ac:dyDescent="0.25">
      <c r="A94" s="12" t="s">
        <v>86</v>
      </c>
      <c r="B94" s="10">
        <v>32</v>
      </c>
      <c r="C94" s="10">
        <v>32</v>
      </c>
      <c r="D94" s="10">
        <v>32</v>
      </c>
    </row>
    <row r="95" spans="1:4" ht="15.75" x14ac:dyDescent="0.25">
      <c r="A95" s="12" t="s">
        <v>87</v>
      </c>
      <c r="B95" s="10">
        <v>85</v>
      </c>
      <c r="C95" s="10">
        <v>85</v>
      </c>
      <c r="D95" s="10">
        <v>85</v>
      </c>
    </row>
    <row r="96" spans="1:4" ht="15.75" x14ac:dyDescent="0.25">
      <c r="A96" s="9" t="s">
        <v>88</v>
      </c>
      <c r="B96" s="10">
        <v>3000</v>
      </c>
      <c r="C96" s="10">
        <v>3000</v>
      </c>
      <c r="D96" s="10">
        <v>3000</v>
      </c>
    </row>
    <row r="97" spans="1:4" ht="15.75" x14ac:dyDescent="0.25">
      <c r="A97" s="13" t="s">
        <v>89</v>
      </c>
      <c r="B97" s="11">
        <v>7.5</v>
      </c>
      <c r="C97" s="11">
        <v>7.5</v>
      </c>
      <c r="D97" s="11">
        <v>7.5</v>
      </c>
    </row>
    <row r="98" spans="1:4" ht="15.75" x14ac:dyDescent="0.25">
      <c r="A98" s="7" t="s">
        <v>90</v>
      </c>
      <c r="B98" s="11">
        <v>570</v>
      </c>
      <c r="C98" s="11">
        <v>570</v>
      </c>
      <c r="D98" s="11">
        <v>570</v>
      </c>
    </row>
    <row r="99" spans="1:4" ht="15.75" x14ac:dyDescent="0.25">
      <c r="A99" s="7" t="s">
        <v>110</v>
      </c>
      <c r="B99" s="11">
        <v>100</v>
      </c>
      <c r="C99" s="11">
        <v>80</v>
      </c>
      <c r="D99" s="11">
        <v>80</v>
      </c>
    </row>
    <row r="100" spans="1:4" ht="15.75" x14ac:dyDescent="0.25">
      <c r="A100" s="7" t="s">
        <v>91</v>
      </c>
      <c r="B100" s="11">
        <v>100</v>
      </c>
      <c r="C100" s="11">
        <v>50</v>
      </c>
      <c r="D100" s="11">
        <v>50</v>
      </c>
    </row>
    <row r="101" spans="1:4" ht="15.75" x14ac:dyDescent="0.25">
      <c r="A101" s="7" t="s">
        <v>92</v>
      </c>
      <c r="B101" s="11">
        <v>50</v>
      </c>
      <c r="C101" s="11">
        <v>50</v>
      </c>
      <c r="D101" s="11">
        <v>55</v>
      </c>
    </row>
    <row r="102" spans="1:4" ht="15.75" x14ac:dyDescent="0.25">
      <c r="A102" s="21" t="s">
        <v>93</v>
      </c>
      <c r="B102" s="22">
        <f>B5+B25+B82</f>
        <v>126826.90000000001</v>
      </c>
      <c r="C102" s="22">
        <f t="shared" ref="C102:D102" si="11">C5+C25+C82</f>
        <v>127168.09999999998</v>
      </c>
      <c r="D102" s="22">
        <f t="shared" si="11"/>
        <v>122520.70000000001</v>
      </c>
    </row>
    <row r="103" spans="1:4" ht="15.75" x14ac:dyDescent="0.25">
      <c r="A103" s="23" t="s">
        <v>94</v>
      </c>
      <c r="B103" s="8">
        <f>B7+B18+B19+B86+B94+B95+B97+B98+B100+B99</f>
        <v>59539.5</v>
      </c>
      <c r="C103" s="8">
        <f>C7+C18+C19+C86+C94+C95+C97+C98+C100+C99</f>
        <v>63727.5</v>
      </c>
      <c r="D103" s="8">
        <f>D7+D18+D19+D86+D94+D95+D97+D98+D100+D99</f>
        <v>67478.5</v>
      </c>
    </row>
    <row r="104" spans="1:4" ht="15.75" x14ac:dyDescent="0.25">
      <c r="A104" s="24"/>
      <c r="B104" s="25"/>
      <c r="C104" s="356"/>
      <c r="D104" s="356"/>
    </row>
    <row r="105" spans="1:4" ht="15.75" x14ac:dyDescent="0.25">
      <c r="A105" s="26" t="s">
        <v>95</v>
      </c>
      <c r="B105" s="25"/>
      <c r="C105" s="25"/>
      <c r="D105" s="25"/>
    </row>
    <row r="106" spans="1:4" ht="15.75" hidden="1" x14ac:dyDescent="0.25">
      <c r="A106" s="26" t="s">
        <v>96</v>
      </c>
      <c r="B106" s="27"/>
      <c r="C106" s="25"/>
      <c r="D106" s="25"/>
    </row>
    <row r="107" spans="1:4" ht="15.75" x14ac:dyDescent="0.25">
      <c r="A107" s="24" t="s">
        <v>97</v>
      </c>
      <c r="B107" s="25">
        <v>1470.7</v>
      </c>
      <c r="C107" s="25">
        <v>1521.7</v>
      </c>
      <c r="D107" s="25">
        <v>1519.7</v>
      </c>
    </row>
    <row r="108" spans="1:4" ht="15.75" x14ac:dyDescent="0.25">
      <c r="A108" s="24" t="s">
        <v>98</v>
      </c>
      <c r="B108" s="25">
        <v>3</v>
      </c>
      <c r="C108" s="25"/>
      <c r="D108" s="25"/>
    </row>
    <row r="109" spans="1:4" ht="15.75" x14ac:dyDescent="0.25">
      <c r="A109" s="18" t="s">
        <v>99</v>
      </c>
      <c r="B109" s="25">
        <v>30.3</v>
      </c>
      <c r="C109" s="25"/>
      <c r="D109" s="25"/>
    </row>
    <row r="110" spans="1:4" ht="15.75" x14ac:dyDescent="0.25">
      <c r="A110" s="18" t="s">
        <v>100</v>
      </c>
      <c r="B110" s="25">
        <v>4938</v>
      </c>
      <c r="C110" s="25">
        <v>209.5</v>
      </c>
      <c r="D110" s="25"/>
    </row>
    <row r="111" spans="1:4" ht="15.75" x14ac:dyDescent="0.25">
      <c r="A111" s="23" t="s">
        <v>101</v>
      </c>
      <c r="B111" s="8">
        <f>+B107+B108+B109+B110</f>
        <v>6442</v>
      </c>
      <c r="C111" s="8">
        <f t="shared" ref="C111:D111" si="12">+C107+C108+C109+C110</f>
        <v>1731.2</v>
      </c>
      <c r="D111" s="8">
        <f t="shared" si="12"/>
        <v>1519.7</v>
      </c>
    </row>
    <row r="112" spans="1:4" ht="15.75" x14ac:dyDescent="0.25">
      <c r="A112" s="28" t="s">
        <v>102</v>
      </c>
      <c r="B112" s="29">
        <f>B102+B106+B111</f>
        <v>133268.90000000002</v>
      </c>
      <c r="C112" s="29">
        <f t="shared" ref="C112:D112" si="13">C102+C106+C111</f>
        <v>128899.29999999997</v>
      </c>
      <c r="D112" s="29">
        <f t="shared" si="13"/>
        <v>124040.40000000001</v>
      </c>
    </row>
  </sheetData>
  <sheetProtection algorithmName="SHA-512" hashValue="zKweeHpgiLa3g/lUtaC6Qmiy0HWxJyV26k91nwr4J1RTK1epl+p9XsRTZMmcANeY/nSrWi8HIxsy/CJ9kY83NA==" saltValue="8pRjJgritfM6B5AQFoEPrA==" spinCount="100000" sheet="1" objects="1" scenarios="1" selectLockedCells="1" selectUnlockedCells="1"/>
  <mergeCells count="2">
    <mergeCell ref="A1:D1"/>
    <mergeCell ref="B2:D2"/>
  </mergeCells>
  <phoneticPr fontId="2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39A4D-3CD7-4C03-8795-888BDDE97487}">
  <dimension ref="B1:G18"/>
  <sheetViews>
    <sheetView tabSelected="1" workbookViewId="0">
      <selection activeCell="H36" sqref="H36"/>
    </sheetView>
  </sheetViews>
  <sheetFormatPr defaultRowHeight="18" x14ac:dyDescent="0.25"/>
  <cols>
    <col min="1" max="1" width="9.140625" style="37"/>
    <col min="2" max="2" width="17.7109375" style="37" customWidth="1"/>
    <col min="3" max="3" width="95.140625" style="37" customWidth="1"/>
    <col min="4" max="4" width="17.42578125" style="37" customWidth="1"/>
    <col min="5" max="5" width="14.7109375" style="37" customWidth="1"/>
    <col min="6" max="6" width="15.42578125" style="37" customWidth="1"/>
    <col min="7" max="16384" width="9.140625" style="37"/>
  </cols>
  <sheetData>
    <row r="1" spans="2:7" ht="34.5" customHeight="1" x14ac:dyDescent="0.25">
      <c r="B1" s="330" t="s">
        <v>798</v>
      </c>
      <c r="C1" s="330"/>
      <c r="D1" s="330"/>
      <c r="E1" s="330"/>
      <c r="F1" s="330"/>
      <c r="G1" s="38"/>
    </row>
    <row r="2" spans="2:7" ht="4.5" customHeight="1" x14ac:dyDescent="0.25">
      <c r="B2" s="41"/>
      <c r="C2" s="41"/>
      <c r="D2" s="41"/>
      <c r="E2" s="38"/>
      <c r="F2" s="38"/>
      <c r="G2" s="38"/>
    </row>
    <row r="3" spans="2:7" ht="14.25" customHeight="1" x14ac:dyDescent="0.25">
      <c r="B3" s="41"/>
      <c r="C3" s="41"/>
      <c r="D3" s="360" t="s">
        <v>0</v>
      </c>
      <c r="E3" s="360"/>
      <c r="F3" s="360"/>
      <c r="G3" s="38"/>
    </row>
    <row r="4" spans="2:7" ht="36" x14ac:dyDescent="0.25">
      <c r="B4" s="43" t="s">
        <v>786</v>
      </c>
      <c r="C4" s="43" t="s">
        <v>112</v>
      </c>
      <c r="D4" s="43" t="s">
        <v>785</v>
      </c>
      <c r="E4" s="43" t="s">
        <v>799</v>
      </c>
      <c r="F4" s="43" t="s">
        <v>800</v>
      </c>
      <c r="G4" s="38"/>
    </row>
    <row r="5" spans="2:7" ht="36" x14ac:dyDescent="0.25">
      <c r="B5" s="42">
        <v>31</v>
      </c>
      <c r="C5" s="39" t="s">
        <v>128</v>
      </c>
      <c r="D5" s="42">
        <f>+'31 pr.2025'!Z7</f>
        <v>32257.9</v>
      </c>
      <c r="E5" s="42">
        <v>28347.8</v>
      </c>
      <c r="F5" s="42">
        <v>26314.2</v>
      </c>
      <c r="G5" s="38"/>
    </row>
    <row r="6" spans="2:7" x14ac:dyDescent="0.25">
      <c r="B6" s="42">
        <v>32</v>
      </c>
      <c r="C6" s="40" t="s">
        <v>331</v>
      </c>
      <c r="D6" s="42">
        <f>+'32 pr.2025'!Z7</f>
        <v>32711.5</v>
      </c>
      <c r="E6" s="42">
        <v>32658.400000000001</v>
      </c>
      <c r="F6" s="42">
        <v>33385.5</v>
      </c>
      <c r="G6" s="38"/>
    </row>
    <row r="7" spans="2:7" x14ac:dyDescent="0.25">
      <c r="B7" s="42">
        <v>33</v>
      </c>
      <c r="C7" s="40" t="s">
        <v>553</v>
      </c>
      <c r="D7" s="42">
        <f>+'33 pr.2025'!Z7</f>
        <v>68299.500000000015</v>
      </c>
      <c r="E7" s="42">
        <v>67893.100000000006</v>
      </c>
      <c r="F7" s="42">
        <v>64340.7</v>
      </c>
      <c r="G7" s="38"/>
    </row>
    <row r="8" spans="2:7" x14ac:dyDescent="0.25">
      <c r="B8" s="331" t="s">
        <v>784</v>
      </c>
      <c r="C8" s="332"/>
      <c r="D8" s="43">
        <f>+D7+D6+D5</f>
        <v>133268.90000000002</v>
      </c>
      <c r="E8" s="43">
        <f t="shared" ref="E8:F8" si="0">+E7+E6+E5</f>
        <v>128899.3</v>
      </c>
      <c r="F8" s="43">
        <f t="shared" si="0"/>
        <v>124040.4</v>
      </c>
      <c r="G8" s="38"/>
    </row>
    <row r="9" spans="2:7" x14ac:dyDescent="0.25">
      <c r="B9" s="38"/>
      <c r="C9" s="38"/>
      <c r="D9" s="38"/>
      <c r="E9" s="38"/>
      <c r="F9" s="38"/>
      <c r="G9" s="38"/>
    </row>
    <row r="10" spans="2:7" x14ac:dyDescent="0.25">
      <c r="B10" s="38"/>
      <c r="C10" s="38"/>
      <c r="D10" s="38"/>
      <c r="E10" s="38"/>
      <c r="F10" s="38"/>
      <c r="G10" s="38"/>
    </row>
    <row r="11" spans="2:7" x14ac:dyDescent="0.25">
      <c r="B11" s="38"/>
      <c r="C11" s="38"/>
      <c r="D11" s="38"/>
      <c r="E11" s="38"/>
      <c r="F11" s="38"/>
      <c r="G11" s="38"/>
    </row>
    <row r="12" spans="2:7" x14ac:dyDescent="0.25">
      <c r="B12" s="38"/>
      <c r="C12" s="38"/>
      <c r="D12" s="38"/>
      <c r="E12" s="38"/>
      <c r="F12" s="38"/>
      <c r="G12" s="38"/>
    </row>
    <row r="13" spans="2:7" x14ac:dyDescent="0.25">
      <c r="B13" s="38"/>
      <c r="C13" s="38"/>
      <c r="D13" s="38"/>
      <c r="E13" s="38"/>
      <c r="F13" s="38"/>
      <c r="G13" s="38"/>
    </row>
    <row r="14" spans="2:7" x14ac:dyDescent="0.25">
      <c r="B14" s="38"/>
      <c r="C14" s="38"/>
      <c r="D14" s="38"/>
      <c r="E14" s="38"/>
      <c r="F14" s="38"/>
      <c r="G14" s="38"/>
    </row>
    <row r="15" spans="2:7" x14ac:dyDescent="0.25">
      <c r="B15" s="38"/>
      <c r="C15" s="38"/>
      <c r="D15" s="38"/>
      <c r="E15" s="38"/>
      <c r="F15" s="38"/>
      <c r="G15" s="38"/>
    </row>
    <row r="16" spans="2:7" x14ac:dyDescent="0.25">
      <c r="B16" s="38"/>
      <c r="C16" s="38"/>
      <c r="D16" s="38"/>
      <c r="E16" s="38"/>
      <c r="F16" s="38"/>
      <c r="G16" s="38"/>
    </row>
    <row r="17" spans="2:7" x14ac:dyDescent="0.25">
      <c r="B17" s="38"/>
      <c r="C17" s="38"/>
      <c r="D17" s="38"/>
      <c r="E17" s="38"/>
      <c r="F17" s="38"/>
      <c r="G17" s="38"/>
    </row>
    <row r="18" spans="2:7" x14ac:dyDescent="0.25">
      <c r="B18" s="38"/>
      <c r="C18" s="38"/>
      <c r="D18" s="38"/>
      <c r="E18" s="38"/>
      <c r="F18" s="38"/>
      <c r="G18" s="38"/>
    </row>
  </sheetData>
  <sheetProtection algorithmName="SHA-512" hashValue="9QJa+ViMwlHl58zdRCNF3501FIPGgAyXn9ZLd4hWcJdVE4qvysNePDD7U/gUIX3E4nYn+zJVBPEVP9ymkAmXIQ==" saltValue="IFb/dfAmDMzpUSIPFNDsog==" spinCount="100000" sheet="1" objects="1" scenarios="1" selectLockedCells="1" selectUnlockedCells="1"/>
  <mergeCells count="3">
    <mergeCell ref="B8:C8"/>
    <mergeCell ref="D3:F3"/>
    <mergeCell ref="B1:F1"/>
  </mergeCells>
  <phoneticPr fontId="27"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87E9-89DC-46BE-9B4C-25B99EA5FE4C}">
  <sheetPr>
    <tabColor rgb="FF0CE626"/>
  </sheetPr>
  <dimension ref="A1:AG496"/>
  <sheetViews>
    <sheetView showGridLines="0" zoomScaleNormal="100" workbookViewId="0">
      <pane ySplit="6" topLeftCell="A7" activePane="bottomLeft" state="frozen"/>
      <selection pane="bottomLeft" sqref="A1:BP265"/>
    </sheetView>
  </sheetViews>
  <sheetFormatPr defaultColWidth="9.140625" defaultRowHeight="15.75" outlineLevelCol="1" x14ac:dyDescent="0.25"/>
  <cols>
    <col min="1" max="1" width="10.85546875" style="48" customWidth="1"/>
    <col min="2" max="2" width="102.140625" style="44" customWidth="1"/>
    <col min="3" max="3" width="8" style="44" hidden="1" customWidth="1"/>
    <col min="4" max="4" width="7.140625" style="44" hidden="1" customWidth="1" outlineLevel="1"/>
    <col min="5" max="5" width="5" style="44" hidden="1" customWidth="1" outlineLevel="1"/>
    <col min="6" max="6" width="6.42578125" style="44" hidden="1" customWidth="1" outlineLevel="1"/>
    <col min="7" max="7" width="7.7109375" style="44" hidden="1" customWidth="1" outlineLevel="1"/>
    <col min="8" max="8" width="7.42578125" style="44" hidden="1" customWidth="1" outlineLevel="1"/>
    <col min="9" max="9" width="8.140625" style="44" hidden="1" customWidth="1" collapsed="1"/>
    <col min="10" max="10" width="7" style="44" hidden="1" customWidth="1"/>
    <col min="11" max="11" width="4.5703125" style="48" hidden="1" customWidth="1"/>
    <col min="12" max="12" width="37.140625" style="49" hidden="1" customWidth="1"/>
    <col min="13" max="13" width="8" style="110" hidden="1" customWidth="1"/>
    <col min="14" max="14" width="8.28515625" style="111" hidden="1" customWidth="1"/>
    <col min="15" max="15" width="5.5703125" style="49" hidden="1" customWidth="1"/>
    <col min="16" max="16" width="6.140625" style="49" hidden="1" customWidth="1" outlineLevel="1"/>
    <col min="17" max="17" width="6.140625" style="49" hidden="1" customWidth="1" collapsed="1"/>
    <col min="18" max="18" width="5.42578125" style="49" hidden="1" customWidth="1"/>
    <col min="19" max="19" width="7.140625" style="49" hidden="1" customWidth="1"/>
    <col min="20" max="20" width="7.7109375" style="49" hidden="1" customWidth="1"/>
    <col min="21" max="21" width="10" style="49" hidden="1" customWidth="1" collapsed="1"/>
    <col min="22" max="22" width="6.85546875" style="49" hidden="1" customWidth="1"/>
    <col min="23" max="23" width="7.140625" style="49" hidden="1" customWidth="1"/>
    <col min="24" max="24" width="6.140625" style="49" hidden="1" customWidth="1" outlineLevel="1"/>
    <col min="25" max="25" width="32.85546875" style="49" hidden="1" customWidth="1" outlineLevel="1"/>
    <col min="26" max="26" width="12" style="112" customWidth="1" collapsed="1"/>
    <col min="27" max="27" width="5.140625" style="49" hidden="1" customWidth="1"/>
    <col min="28" max="28" width="8.28515625" style="49" hidden="1" customWidth="1"/>
    <col min="29" max="29" width="17.140625" style="48" hidden="1" customWidth="1"/>
    <col min="30" max="30" width="8.28515625" style="113" hidden="1" customWidth="1" outlineLevel="1"/>
    <col min="31" max="31" width="7.85546875" style="49" hidden="1" customWidth="1" outlineLevel="1"/>
    <col min="32" max="32" width="9.140625" style="49" hidden="1" customWidth="1" outlineLevel="1"/>
    <col min="33" max="33" width="9.140625" style="44" collapsed="1"/>
    <col min="34" max="16384" width="9.140625" style="44"/>
  </cols>
  <sheetData>
    <row r="1" spans="1:32" x14ac:dyDescent="0.25">
      <c r="Z1" s="110"/>
    </row>
    <row r="2" spans="1:32" x14ac:dyDescent="0.25">
      <c r="Z2" s="49" t="s">
        <v>0</v>
      </c>
    </row>
    <row r="3" spans="1:32" s="49" customFormat="1" x14ac:dyDescent="0.25">
      <c r="A3" s="341" t="s">
        <v>111</v>
      </c>
      <c r="B3" s="344" t="s">
        <v>112</v>
      </c>
      <c r="C3" s="345" t="s">
        <v>113</v>
      </c>
      <c r="D3" s="346"/>
      <c r="E3" s="347"/>
      <c r="F3" s="348"/>
      <c r="G3" s="349"/>
      <c r="H3" s="350"/>
      <c r="I3" s="44"/>
      <c r="J3" s="47"/>
      <c r="K3" s="48"/>
      <c r="L3" s="333" t="s">
        <v>785</v>
      </c>
      <c r="M3" s="334"/>
      <c r="N3" s="334"/>
      <c r="O3" s="334"/>
      <c r="P3" s="334"/>
      <c r="Q3" s="334"/>
      <c r="R3" s="334"/>
      <c r="S3" s="334"/>
      <c r="T3" s="334"/>
      <c r="U3" s="334"/>
      <c r="V3" s="334"/>
      <c r="W3" s="334"/>
      <c r="X3" s="334"/>
      <c r="Y3" s="334"/>
      <c r="Z3" s="334"/>
      <c r="AA3" s="334"/>
      <c r="AB3" s="334"/>
      <c r="AC3" s="334"/>
      <c r="AD3" s="334"/>
      <c r="AE3" s="334"/>
      <c r="AF3" s="334"/>
    </row>
    <row r="4" spans="1:32" s="49" customFormat="1" x14ac:dyDescent="0.25">
      <c r="A4" s="342"/>
      <c r="B4" s="344"/>
      <c r="C4" s="345"/>
      <c r="D4" s="349" t="s">
        <v>114</v>
      </c>
      <c r="E4" s="351"/>
      <c r="F4" s="350"/>
      <c r="G4" s="345" t="s">
        <v>115</v>
      </c>
      <c r="H4" s="345" t="s">
        <v>116</v>
      </c>
      <c r="I4" s="339"/>
      <c r="J4" s="47"/>
      <c r="K4" s="339"/>
      <c r="L4" s="335"/>
      <c r="M4" s="336"/>
      <c r="N4" s="336"/>
      <c r="O4" s="336"/>
      <c r="P4" s="336"/>
      <c r="Q4" s="336"/>
      <c r="R4" s="336"/>
      <c r="S4" s="336"/>
      <c r="T4" s="336"/>
      <c r="U4" s="336"/>
      <c r="V4" s="336"/>
      <c r="W4" s="336"/>
      <c r="X4" s="336"/>
      <c r="Y4" s="336"/>
      <c r="Z4" s="336"/>
      <c r="AA4" s="336"/>
      <c r="AB4" s="336"/>
      <c r="AC4" s="336"/>
      <c r="AD4" s="336"/>
      <c r="AE4" s="336"/>
      <c r="AF4" s="336"/>
    </row>
    <row r="5" spans="1:32" s="49" customFormat="1" ht="19.5" customHeight="1" x14ac:dyDescent="0.25">
      <c r="A5" s="343"/>
      <c r="B5" s="344"/>
      <c r="C5" s="345"/>
      <c r="D5" s="50" t="s">
        <v>117</v>
      </c>
      <c r="E5" s="50" t="s">
        <v>118</v>
      </c>
      <c r="F5" s="50" t="s">
        <v>119</v>
      </c>
      <c r="G5" s="345"/>
      <c r="H5" s="345"/>
      <c r="I5" s="340"/>
      <c r="J5" s="51"/>
      <c r="K5" s="340"/>
      <c r="L5" s="337"/>
      <c r="M5" s="338"/>
      <c r="N5" s="338"/>
      <c r="O5" s="338"/>
      <c r="P5" s="338"/>
      <c r="Q5" s="338"/>
      <c r="R5" s="338"/>
      <c r="S5" s="338"/>
      <c r="T5" s="338"/>
      <c r="U5" s="338"/>
      <c r="V5" s="338"/>
      <c r="W5" s="338"/>
      <c r="X5" s="338"/>
      <c r="Y5" s="338"/>
      <c r="Z5" s="338"/>
      <c r="AA5" s="338"/>
      <c r="AB5" s="338"/>
      <c r="AC5" s="338"/>
      <c r="AD5" s="338"/>
      <c r="AE5" s="338"/>
      <c r="AF5" s="338"/>
    </row>
    <row r="6" spans="1:32" s="49" customFormat="1" ht="24" customHeight="1" thickBot="1" x14ac:dyDescent="0.3">
      <c r="A6" s="53">
        <v>1</v>
      </c>
      <c r="B6" s="53">
        <v>2</v>
      </c>
      <c r="C6" s="53">
        <v>3</v>
      </c>
      <c r="D6" s="53" t="s">
        <v>120</v>
      </c>
      <c r="E6" s="53" t="s">
        <v>121</v>
      </c>
      <c r="F6" s="53" t="s">
        <v>122</v>
      </c>
      <c r="G6" s="114">
        <v>4</v>
      </c>
      <c r="H6" s="114" t="s">
        <v>123</v>
      </c>
      <c r="I6" s="114">
        <v>5</v>
      </c>
      <c r="J6" s="114">
        <v>6</v>
      </c>
      <c r="K6" s="115">
        <v>7</v>
      </c>
      <c r="L6" s="116"/>
      <c r="M6" s="45">
        <v>8</v>
      </c>
      <c r="N6" s="117" t="s">
        <v>124</v>
      </c>
      <c r="O6" s="53">
        <v>9</v>
      </c>
      <c r="P6" s="53" t="s">
        <v>125</v>
      </c>
      <c r="Q6" s="53">
        <v>10</v>
      </c>
      <c r="R6" s="53">
        <v>11</v>
      </c>
      <c r="S6" s="53">
        <v>12</v>
      </c>
      <c r="T6" s="53">
        <v>13</v>
      </c>
      <c r="U6" s="118" t="s">
        <v>126</v>
      </c>
      <c r="V6" s="53">
        <v>14</v>
      </c>
      <c r="W6" s="53">
        <v>15</v>
      </c>
      <c r="X6" s="53" t="s">
        <v>127</v>
      </c>
      <c r="Y6" s="53">
        <v>0</v>
      </c>
      <c r="Z6" s="53">
        <v>3</v>
      </c>
      <c r="AA6" s="52">
        <v>17</v>
      </c>
      <c r="AB6" s="52">
        <v>17</v>
      </c>
      <c r="AC6" s="53">
        <v>18</v>
      </c>
      <c r="AD6" s="54">
        <v>19</v>
      </c>
      <c r="AE6" s="52">
        <v>20</v>
      </c>
      <c r="AF6" s="52">
        <v>21</v>
      </c>
    </row>
    <row r="7" spans="1:32" s="56" customFormat="1" ht="16.5" thickBot="1" x14ac:dyDescent="0.3">
      <c r="A7" s="119">
        <v>31</v>
      </c>
      <c r="B7" s="120" t="s">
        <v>128</v>
      </c>
      <c r="C7" s="121">
        <f t="shared" ref="C7:K7" si="0">C8+C48</f>
        <v>27899.3</v>
      </c>
      <c r="D7" s="121">
        <f t="shared" si="0"/>
        <v>13444.100000000002</v>
      </c>
      <c r="E7" s="121">
        <f t="shared" si="0"/>
        <v>52</v>
      </c>
      <c r="F7" s="121">
        <f t="shared" si="0"/>
        <v>4625.2000000000007</v>
      </c>
      <c r="G7" s="121">
        <f t="shared" si="0"/>
        <v>30847.900000000005</v>
      </c>
      <c r="H7" s="121">
        <f t="shared" si="0"/>
        <v>24691.300000000003</v>
      </c>
      <c r="I7" s="121">
        <f t="shared" si="0"/>
        <v>0</v>
      </c>
      <c r="J7" s="121">
        <f t="shared" si="0"/>
        <v>0</v>
      </c>
      <c r="K7" s="121">
        <f t="shared" si="0"/>
        <v>0</v>
      </c>
      <c r="L7" s="121"/>
      <c r="M7" s="121">
        <f t="shared" ref="M7:AB7" si="1">M8+M48</f>
        <v>15516.6</v>
      </c>
      <c r="N7" s="122">
        <f t="shared" si="1"/>
        <v>769.09999999999945</v>
      </c>
      <c r="O7" s="121">
        <f t="shared" si="1"/>
        <v>82</v>
      </c>
      <c r="P7" s="121">
        <f t="shared" si="1"/>
        <v>0</v>
      </c>
      <c r="Q7" s="121">
        <f t="shared" si="1"/>
        <v>0</v>
      </c>
      <c r="R7" s="121">
        <f t="shared" si="1"/>
        <v>17.8</v>
      </c>
      <c r="S7" s="121">
        <f t="shared" si="1"/>
        <v>2500</v>
      </c>
      <c r="T7" s="121">
        <f t="shared" si="1"/>
        <v>9587.8000000000011</v>
      </c>
      <c r="U7" s="121">
        <f t="shared" si="1"/>
        <v>12105.6</v>
      </c>
      <c r="V7" s="121">
        <f t="shared" si="1"/>
        <v>3152</v>
      </c>
      <c r="W7" s="121">
        <f t="shared" si="1"/>
        <v>1401.7</v>
      </c>
      <c r="X7" s="121">
        <f t="shared" si="1"/>
        <v>0</v>
      </c>
      <c r="Y7" s="121">
        <f t="shared" si="1"/>
        <v>0</v>
      </c>
      <c r="Z7" s="121">
        <f t="shared" si="1"/>
        <v>32257.9</v>
      </c>
      <c r="AA7" s="55">
        <f t="shared" si="1"/>
        <v>0</v>
      </c>
      <c r="AB7" s="55">
        <f t="shared" si="1"/>
        <v>12283.8</v>
      </c>
      <c r="AC7" s="55"/>
      <c r="AD7" s="55">
        <f>Z7+AB7</f>
        <v>44541.7</v>
      </c>
      <c r="AE7" s="55">
        <f>AE8+AE48</f>
        <v>20</v>
      </c>
      <c r="AF7" s="55"/>
    </row>
    <row r="8" spans="1:32" s="56" customFormat="1" x14ac:dyDescent="0.25">
      <c r="A8" s="84" t="s">
        <v>129</v>
      </c>
      <c r="B8" s="130" t="s">
        <v>788</v>
      </c>
      <c r="C8" s="85">
        <f t="shared" ref="C8:K8" si="2">C9+C30</f>
        <v>10049</v>
      </c>
      <c r="D8" s="85">
        <f t="shared" si="2"/>
        <v>6041.9000000000005</v>
      </c>
      <c r="E8" s="85">
        <f t="shared" si="2"/>
        <v>32</v>
      </c>
      <c r="F8" s="85">
        <f t="shared" si="2"/>
        <v>1303.4000000000001</v>
      </c>
      <c r="G8" s="85">
        <f t="shared" si="2"/>
        <v>9819.3000000000029</v>
      </c>
      <c r="H8" s="85">
        <f t="shared" si="2"/>
        <v>9124.2999999999975</v>
      </c>
      <c r="I8" s="85">
        <f t="shared" si="2"/>
        <v>0</v>
      </c>
      <c r="J8" s="85">
        <f t="shared" si="2"/>
        <v>0</v>
      </c>
      <c r="K8" s="85">
        <f t="shared" si="2"/>
        <v>0</v>
      </c>
      <c r="L8" s="85"/>
      <c r="M8" s="85">
        <f t="shared" ref="M8:AB8" si="3">M9+M30</f>
        <v>5588</v>
      </c>
      <c r="N8" s="87">
        <f t="shared" si="3"/>
        <v>-1757.3000000000002</v>
      </c>
      <c r="O8" s="85">
        <f t="shared" si="3"/>
        <v>32</v>
      </c>
      <c r="P8" s="85">
        <f t="shared" si="3"/>
        <v>0</v>
      </c>
      <c r="Q8" s="85">
        <f t="shared" si="3"/>
        <v>0</v>
      </c>
      <c r="R8" s="85">
        <f t="shared" si="3"/>
        <v>0</v>
      </c>
      <c r="S8" s="85">
        <f t="shared" si="3"/>
        <v>0</v>
      </c>
      <c r="T8" s="85">
        <f t="shared" si="3"/>
        <v>682.4</v>
      </c>
      <c r="U8" s="85">
        <f t="shared" si="3"/>
        <v>682.4</v>
      </c>
      <c r="V8" s="85">
        <f t="shared" si="3"/>
        <v>3152</v>
      </c>
      <c r="W8" s="85">
        <f t="shared" si="3"/>
        <v>13.2</v>
      </c>
      <c r="X8" s="85">
        <f t="shared" si="3"/>
        <v>0</v>
      </c>
      <c r="Y8" s="85">
        <f t="shared" si="3"/>
        <v>0</v>
      </c>
      <c r="Z8" s="265">
        <f t="shared" si="3"/>
        <v>9467.6</v>
      </c>
      <c r="AA8" s="57">
        <f t="shared" si="3"/>
        <v>0</v>
      </c>
      <c r="AB8" s="57">
        <f t="shared" si="3"/>
        <v>2156.8000000000002</v>
      </c>
      <c r="AC8" s="57"/>
      <c r="AD8" s="58">
        <f t="shared" ref="AD8:AD80" si="4">Z8+AB8</f>
        <v>11624.400000000001</v>
      </c>
      <c r="AE8" s="57">
        <f>AE9+AE30</f>
        <v>20</v>
      </c>
      <c r="AF8" s="57"/>
    </row>
    <row r="9" spans="1:32" s="56" customFormat="1" x14ac:dyDescent="0.25">
      <c r="A9" s="59" t="s">
        <v>130</v>
      </c>
      <c r="B9" s="131" t="s">
        <v>789</v>
      </c>
      <c r="C9" s="60">
        <f t="shared" ref="C9:H9" si="5">C10+C11+C12+C13+C14+C15+C16+C17+C18+C19+C20+C21+C22+C23+C24+C25+C26+C27+C28+C29</f>
        <v>2624.3</v>
      </c>
      <c r="D9" s="60">
        <f t="shared" si="5"/>
        <v>1653.7</v>
      </c>
      <c r="E9" s="60">
        <f t="shared" si="5"/>
        <v>0</v>
      </c>
      <c r="F9" s="60">
        <f t="shared" si="5"/>
        <v>970.6</v>
      </c>
      <c r="G9" s="60">
        <f t="shared" si="5"/>
        <v>801.19999999999993</v>
      </c>
      <c r="H9" s="60">
        <f t="shared" si="5"/>
        <v>489.3</v>
      </c>
      <c r="I9" s="60">
        <f>I10+I11+I12+I13+I14+I15+I16+I17+I18+I19+I20+I21+I22+I23+I24+I25+I26+I27+I28</f>
        <v>0</v>
      </c>
      <c r="J9" s="60">
        <f>J10+J11+J12+J13+J14+J15+J16+J17+J18+J19+J20+J21+J22+J23+J24+J25+J26+J27+J28</f>
        <v>0</v>
      </c>
      <c r="K9" s="60">
        <f>K10+K11+K12+K13+K14+K15+K16+K17+K18+K19+K20+K21+K22+K23+K24+K25+K26+K27+K28</f>
        <v>0</v>
      </c>
      <c r="L9" s="60"/>
      <c r="M9" s="60">
        <f t="shared" ref="M9:Y9" si="6">M10+M11+M12+M13+M14+M15+M16+M17+M18+M19+M20+M21+M22+M23+M24+M25+M26+M27+M28</f>
        <v>1200</v>
      </c>
      <c r="N9" s="61">
        <f t="shared" si="6"/>
        <v>-1424.3000000000002</v>
      </c>
      <c r="O9" s="60">
        <f t="shared" si="6"/>
        <v>0</v>
      </c>
      <c r="P9" s="60">
        <f t="shared" si="6"/>
        <v>0</v>
      </c>
      <c r="Q9" s="60">
        <f t="shared" si="6"/>
        <v>0</v>
      </c>
      <c r="R9" s="60">
        <f t="shared" si="6"/>
        <v>0</v>
      </c>
      <c r="S9" s="60">
        <f t="shared" si="6"/>
        <v>0</v>
      </c>
      <c r="T9" s="60">
        <f t="shared" si="6"/>
        <v>0</v>
      </c>
      <c r="U9" s="60">
        <f t="shared" si="6"/>
        <v>0</v>
      </c>
      <c r="V9" s="60">
        <f t="shared" si="6"/>
        <v>0</v>
      </c>
      <c r="W9" s="60">
        <f t="shared" si="6"/>
        <v>13.2</v>
      </c>
      <c r="X9" s="60">
        <f t="shared" si="6"/>
        <v>0</v>
      </c>
      <c r="Y9" s="60">
        <f t="shared" si="6"/>
        <v>0</v>
      </c>
      <c r="Z9" s="266">
        <f t="shared" ref="Z9:Z28" si="7">M9+O9+U9+V9+W9+X9</f>
        <v>1213.2</v>
      </c>
      <c r="AA9" s="60">
        <f>AA10+AA11+AA12+AA13+AA14+AA15+AA16+AA17+AA18+AA19+AA20+AA21+AA22+AA23+AA24+AA25+AA26+AA27+AA28</f>
        <v>0</v>
      </c>
      <c r="AB9" s="60">
        <f>AB10+AB11+AB12+AB13+AB14+AB15+AB16+AB17+AB18+AB19+AB20+AB21+AB22+AB23+AB24+AB25+AB26+AB27+AB28</f>
        <v>500</v>
      </c>
      <c r="AC9" s="60"/>
      <c r="AD9" s="62">
        <f t="shared" si="4"/>
        <v>1713.2</v>
      </c>
      <c r="AE9" s="60">
        <f>AE10+AE11+AE12+AE13+AE14+AE15+AE16+AE17+AE18+AE19+AE20+AE21+AE22+AE23+AE24+AE25+AE26+AE27+AE28</f>
        <v>0</v>
      </c>
      <c r="AF9" s="60"/>
    </row>
    <row r="10" spans="1:32" s="56" customFormat="1" hidden="1" x14ac:dyDescent="0.25">
      <c r="A10" s="63" t="s">
        <v>131</v>
      </c>
      <c r="B10" s="132" t="s">
        <v>132</v>
      </c>
      <c r="C10" s="65">
        <v>0.5</v>
      </c>
      <c r="D10" s="66"/>
      <c r="E10" s="66"/>
      <c r="F10" s="66">
        <v>0.5</v>
      </c>
      <c r="G10" s="67">
        <v>0.9</v>
      </c>
      <c r="H10" s="67">
        <v>0.5</v>
      </c>
      <c r="I10" s="68"/>
      <c r="J10" s="68"/>
      <c r="K10" s="69"/>
      <c r="L10" s="67"/>
      <c r="M10" s="70">
        <v>0</v>
      </c>
      <c r="N10" s="71">
        <f>M10-D10-F10</f>
        <v>-0.5</v>
      </c>
      <c r="O10" s="70"/>
      <c r="P10" s="70"/>
      <c r="Q10" s="70"/>
      <c r="R10" s="70"/>
      <c r="S10" s="70"/>
      <c r="T10" s="70"/>
      <c r="U10" s="70">
        <f>Q10+R10+S10+T10</f>
        <v>0</v>
      </c>
      <c r="V10" s="70"/>
      <c r="W10" s="70"/>
      <c r="X10" s="72"/>
      <c r="Y10" s="66"/>
      <c r="Z10" s="62">
        <f t="shared" si="7"/>
        <v>0</v>
      </c>
      <c r="AA10" s="66"/>
      <c r="AB10" s="73"/>
      <c r="AC10" s="74"/>
      <c r="AD10" s="62">
        <f t="shared" si="4"/>
        <v>0</v>
      </c>
      <c r="AE10" s="73"/>
      <c r="AF10" s="75"/>
    </row>
    <row r="11" spans="1:32" s="56" customFormat="1" ht="20.25" customHeight="1" x14ac:dyDescent="0.25">
      <c r="A11" s="63" t="s">
        <v>133</v>
      </c>
      <c r="B11" s="132" t="s">
        <v>134</v>
      </c>
      <c r="C11" s="65">
        <v>2609.4</v>
      </c>
      <c r="D11" s="66">
        <v>1653.7</v>
      </c>
      <c r="E11" s="66"/>
      <c r="F11" s="66">
        <v>955.7</v>
      </c>
      <c r="G11" s="67">
        <v>785.9</v>
      </c>
      <c r="H11" s="67">
        <v>487.6</v>
      </c>
      <c r="I11" s="68"/>
      <c r="J11" s="68"/>
      <c r="K11" s="69"/>
      <c r="L11" s="76" t="s">
        <v>135</v>
      </c>
      <c r="M11" s="70">
        <v>1200</v>
      </c>
      <c r="N11" s="71">
        <f t="shared" ref="N11:N27" si="8">M11-D11-F11</f>
        <v>-1409.4</v>
      </c>
      <c r="O11" s="70"/>
      <c r="P11" s="70"/>
      <c r="Q11" s="70"/>
      <c r="R11" s="70"/>
      <c r="S11" s="70"/>
      <c r="T11" s="70"/>
      <c r="U11" s="70">
        <f t="shared" ref="U11:U82" si="9">Q11+R11+S11+T11</f>
        <v>0</v>
      </c>
      <c r="V11" s="70"/>
      <c r="W11" s="70"/>
      <c r="X11" s="72"/>
      <c r="Y11" s="66"/>
      <c r="Z11" s="75">
        <f t="shared" si="7"/>
        <v>1200</v>
      </c>
      <c r="AA11" s="66"/>
      <c r="AB11" s="73">
        <v>500</v>
      </c>
      <c r="AC11" s="74" t="s">
        <v>136</v>
      </c>
      <c r="AD11" s="62">
        <f t="shared" si="4"/>
        <v>1700</v>
      </c>
      <c r="AE11" s="73"/>
      <c r="AF11" s="77" t="s">
        <v>137</v>
      </c>
    </row>
    <row r="12" spans="1:32" s="56" customFormat="1" hidden="1" x14ac:dyDescent="0.25">
      <c r="A12" s="63" t="s">
        <v>138</v>
      </c>
      <c r="B12" s="132" t="s">
        <v>139</v>
      </c>
      <c r="C12" s="65"/>
      <c r="D12" s="66"/>
      <c r="E12" s="66"/>
      <c r="F12" s="66"/>
      <c r="G12" s="67"/>
      <c r="H12" s="67"/>
      <c r="I12" s="68"/>
      <c r="J12" s="68"/>
      <c r="K12" s="69"/>
      <c r="L12" s="67"/>
      <c r="M12" s="70"/>
      <c r="N12" s="71">
        <f t="shared" si="8"/>
        <v>0</v>
      </c>
      <c r="O12" s="70"/>
      <c r="P12" s="70"/>
      <c r="Q12" s="70"/>
      <c r="R12" s="70"/>
      <c r="S12" s="70"/>
      <c r="T12" s="70"/>
      <c r="U12" s="70">
        <f t="shared" si="9"/>
        <v>0</v>
      </c>
      <c r="V12" s="70"/>
      <c r="W12" s="70"/>
      <c r="X12" s="72"/>
      <c r="Y12" s="66"/>
      <c r="Z12" s="75">
        <f t="shared" si="7"/>
        <v>0</v>
      </c>
      <c r="AA12" s="66"/>
      <c r="AB12" s="73"/>
      <c r="AC12" s="74"/>
      <c r="AD12" s="62">
        <f t="shared" si="4"/>
        <v>0</v>
      </c>
      <c r="AE12" s="73"/>
      <c r="AF12" s="75"/>
    </row>
    <row r="13" spans="1:32" s="56" customFormat="1" hidden="1" x14ac:dyDescent="0.25">
      <c r="A13" s="63" t="s">
        <v>140</v>
      </c>
      <c r="B13" s="132" t="s">
        <v>141</v>
      </c>
      <c r="C13" s="65"/>
      <c r="D13" s="66"/>
      <c r="E13" s="66"/>
      <c r="F13" s="66"/>
      <c r="G13" s="67"/>
      <c r="H13" s="67"/>
      <c r="I13" s="68"/>
      <c r="J13" s="68"/>
      <c r="K13" s="69"/>
      <c r="L13" s="67"/>
      <c r="M13" s="70"/>
      <c r="N13" s="71">
        <f t="shared" si="8"/>
        <v>0</v>
      </c>
      <c r="O13" s="70"/>
      <c r="P13" s="70"/>
      <c r="Q13" s="70"/>
      <c r="R13" s="70"/>
      <c r="S13" s="70"/>
      <c r="T13" s="70"/>
      <c r="U13" s="70">
        <f t="shared" si="9"/>
        <v>0</v>
      </c>
      <c r="V13" s="70"/>
      <c r="W13" s="70"/>
      <c r="X13" s="72"/>
      <c r="Y13" s="66"/>
      <c r="Z13" s="75">
        <f t="shared" si="7"/>
        <v>0</v>
      </c>
      <c r="AA13" s="66"/>
      <c r="AB13" s="73"/>
      <c r="AC13" s="74"/>
      <c r="AD13" s="62">
        <f t="shared" si="4"/>
        <v>0</v>
      </c>
      <c r="AE13" s="73"/>
      <c r="AF13" s="75"/>
    </row>
    <row r="14" spans="1:32" s="56" customFormat="1" hidden="1" x14ac:dyDescent="0.25">
      <c r="A14" s="63" t="s">
        <v>142</v>
      </c>
      <c r="B14" s="132" t="s">
        <v>143</v>
      </c>
      <c r="C14" s="65"/>
      <c r="D14" s="66"/>
      <c r="E14" s="66"/>
      <c r="F14" s="66"/>
      <c r="G14" s="67"/>
      <c r="H14" s="67"/>
      <c r="I14" s="68"/>
      <c r="J14" s="68"/>
      <c r="K14" s="69"/>
      <c r="L14" s="67"/>
      <c r="M14" s="70"/>
      <c r="N14" s="71">
        <f t="shared" si="8"/>
        <v>0</v>
      </c>
      <c r="O14" s="70"/>
      <c r="P14" s="70"/>
      <c r="Q14" s="70"/>
      <c r="R14" s="70"/>
      <c r="S14" s="70"/>
      <c r="T14" s="70"/>
      <c r="U14" s="70">
        <f t="shared" si="9"/>
        <v>0</v>
      </c>
      <c r="V14" s="70"/>
      <c r="W14" s="70"/>
      <c r="X14" s="72"/>
      <c r="Y14" s="66"/>
      <c r="Z14" s="75">
        <f t="shared" si="7"/>
        <v>0</v>
      </c>
      <c r="AA14" s="66"/>
      <c r="AB14" s="73"/>
      <c r="AC14" s="74"/>
      <c r="AD14" s="62">
        <f t="shared" si="4"/>
        <v>0</v>
      </c>
      <c r="AE14" s="73"/>
      <c r="AF14" s="75"/>
    </row>
    <row r="15" spans="1:32" s="56" customFormat="1" ht="31.5" hidden="1" x14ac:dyDescent="0.25">
      <c r="A15" s="63" t="s">
        <v>144</v>
      </c>
      <c r="B15" s="132" t="s">
        <v>145</v>
      </c>
      <c r="C15" s="65"/>
      <c r="D15" s="66"/>
      <c r="E15" s="66"/>
      <c r="F15" s="66"/>
      <c r="G15" s="67"/>
      <c r="H15" s="67"/>
      <c r="I15" s="68"/>
      <c r="J15" s="68"/>
      <c r="K15" s="69"/>
      <c r="L15" s="67"/>
      <c r="M15" s="70"/>
      <c r="N15" s="71">
        <f t="shared" si="8"/>
        <v>0</v>
      </c>
      <c r="O15" s="70"/>
      <c r="P15" s="70"/>
      <c r="Q15" s="70"/>
      <c r="R15" s="70"/>
      <c r="S15" s="70"/>
      <c r="T15" s="70"/>
      <c r="U15" s="70">
        <f t="shared" si="9"/>
        <v>0</v>
      </c>
      <c r="V15" s="70"/>
      <c r="W15" s="70"/>
      <c r="X15" s="72"/>
      <c r="Y15" s="66"/>
      <c r="Z15" s="75">
        <f t="shared" si="7"/>
        <v>0</v>
      </c>
      <c r="AA15" s="66"/>
      <c r="AB15" s="73"/>
      <c r="AC15" s="74"/>
      <c r="AD15" s="62">
        <f t="shared" si="4"/>
        <v>0</v>
      </c>
      <c r="AE15" s="73"/>
      <c r="AF15" s="75"/>
    </row>
    <row r="16" spans="1:32" s="56" customFormat="1" ht="31.5" hidden="1" x14ac:dyDescent="0.25">
      <c r="A16" s="63" t="s">
        <v>146</v>
      </c>
      <c r="B16" s="132" t="s">
        <v>147</v>
      </c>
      <c r="C16" s="65"/>
      <c r="D16" s="66"/>
      <c r="E16" s="66"/>
      <c r="F16" s="66"/>
      <c r="G16" s="67"/>
      <c r="H16" s="67"/>
      <c r="I16" s="68"/>
      <c r="J16" s="68"/>
      <c r="K16" s="69"/>
      <c r="L16" s="67"/>
      <c r="M16" s="70"/>
      <c r="N16" s="71">
        <f t="shared" si="8"/>
        <v>0</v>
      </c>
      <c r="O16" s="70"/>
      <c r="P16" s="70"/>
      <c r="Q16" s="70"/>
      <c r="R16" s="70"/>
      <c r="S16" s="70"/>
      <c r="T16" s="70"/>
      <c r="U16" s="70">
        <f t="shared" si="9"/>
        <v>0</v>
      </c>
      <c r="V16" s="70"/>
      <c r="W16" s="70"/>
      <c r="X16" s="72"/>
      <c r="Y16" s="66"/>
      <c r="Z16" s="75">
        <f t="shared" si="7"/>
        <v>0</v>
      </c>
      <c r="AA16" s="66"/>
      <c r="AB16" s="73"/>
      <c r="AC16" s="74"/>
      <c r="AD16" s="62">
        <f t="shared" si="4"/>
        <v>0</v>
      </c>
      <c r="AE16" s="73"/>
      <c r="AF16" s="75"/>
    </row>
    <row r="17" spans="1:32" s="56" customFormat="1" hidden="1" x14ac:dyDescent="0.25">
      <c r="A17" s="63" t="s">
        <v>148</v>
      </c>
      <c r="B17" s="132" t="s">
        <v>149</v>
      </c>
      <c r="C17" s="65"/>
      <c r="D17" s="66"/>
      <c r="E17" s="66"/>
      <c r="F17" s="66"/>
      <c r="G17" s="67"/>
      <c r="H17" s="67"/>
      <c r="I17" s="68"/>
      <c r="J17" s="68"/>
      <c r="K17" s="69"/>
      <c r="L17" s="67"/>
      <c r="M17" s="70"/>
      <c r="N17" s="71">
        <f t="shared" si="8"/>
        <v>0</v>
      </c>
      <c r="O17" s="70"/>
      <c r="P17" s="70"/>
      <c r="Q17" s="70"/>
      <c r="R17" s="70"/>
      <c r="S17" s="70"/>
      <c r="T17" s="70"/>
      <c r="U17" s="70">
        <f t="shared" si="9"/>
        <v>0</v>
      </c>
      <c r="V17" s="70"/>
      <c r="W17" s="70"/>
      <c r="X17" s="72"/>
      <c r="Y17" s="66"/>
      <c r="Z17" s="75">
        <f t="shared" si="7"/>
        <v>0</v>
      </c>
      <c r="AA17" s="66"/>
      <c r="AB17" s="73"/>
      <c r="AC17" s="74"/>
      <c r="AD17" s="62">
        <f t="shared" si="4"/>
        <v>0</v>
      </c>
      <c r="AE17" s="73"/>
      <c r="AF17" s="75"/>
    </row>
    <row r="18" spans="1:32" s="56" customFormat="1" hidden="1" x14ac:dyDescent="0.25">
      <c r="A18" s="63" t="s">
        <v>150</v>
      </c>
      <c r="B18" s="132" t="s">
        <v>151</v>
      </c>
      <c r="C18" s="65"/>
      <c r="D18" s="66"/>
      <c r="E18" s="66"/>
      <c r="F18" s="66"/>
      <c r="G18" s="67"/>
      <c r="H18" s="67"/>
      <c r="I18" s="68"/>
      <c r="J18" s="68"/>
      <c r="K18" s="69"/>
      <c r="L18" s="67"/>
      <c r="M18" s="70"/>
      <c r="N18" s="71">
        <f t="shared" si="8"/>
        <v>0</v>
      </c>
      <c r="O18" s="70"/>
      <c r="P18" s="70"/>
      <c r="Q18" s="70"/>
      <c r="R18" s="70"/>
      <c r="S18" s="70"/>
      <c r="T18" s="70"/>
      <c r="U18" s="70">
        <f t="shared" si="9"/>
        <v>0</v>
      </c>
      <c r="V18" s="70"/>
      <c r="W18" s="70"/>
      <c r="X18" s="72"/>
      <c r="Y18" s="66"/>
      <c r="Z18" s="75">
        <f t="shared" si="7"/>
        <v>0</v>
      </c>
      <c r="AA18" s="66"/>
      <c r="AB18" s="73"/>
      <c r="AC18" s="74"/>
      <c r="AD18" s="62">
        <f t="shared" si="4"/>
        <v>0</v>
      </c>
      <c r="AE18" s="73"/>
      <c r="AF18" s="75"/>
    </row>
    <row r="19" spans="1:32" s="56" customFormat="1" ht="31.5" hidden="1" x14ac:dyDescent="0.25">
      <c r="A19" s="63" t="s">
        <v>152</v>
      </c>
      <c r="B19" s="132" t="s">
        <v>153</v>
      </c>
      <c r="C19" s="65">
        <v>0</v>
      </c>
      <c r="D19" s="66">
        <v>0</v>
      </c>
      <c r="E19" s="66"/>
      <c r="F19" s="66"/>
      <c r="G19" s="67">
        <v>0</v>
      </c>
      <c r="H19" s="67">
        <v>0</v>
      </c>
      <c r="I19" s="68"/>
      <c r="J19" s="68"/>
      <c r="K19" s="69"/>
      <c r="L19" s="67"/>
      <c r="M19" s="70"/>
      <c r="N19" s="71">
        <f t="shared" si="8"/>
        <v>0</v>
      </c>
      <c r="O19" s="70"/>
      <c r="P19" s="70"/>
      <c r="Q19" s="70"/>
      <c r="R19" s="70"/>
      <c r="S19" s="70"/>
      <c r="T19" s="70"/>
      <c r="U19" s="70">
        <f t="shared" si="9"/>
        <v>0</v>
      </c>
      <c r="V19" s="70"/>
      <c r="W19" s="70"/>
      <c r="X19" s="72"/>
      <c r="Y19" s="66"/>
      <c r="Z19" s="75">
        <f t="shared" si="7"/>
        <v>0</v>
      </c>
      <c r="AA19" s="66"/>
      <c r="AB19" s="73"/>
      <c r="AC19" s="74"/>
      <c r="AD19" s="62">
        <f t="shared" si="4"/>
        <v>0</v>
      </c>
      <c r="AE19" s="73"/>
      <c r="AF19" s="75"/>
    </row>
    <row r="20" spans="1:32" s="56" customFormat="1" ht="31.5" hidden="1" x14ac:dyDescent="0.25">
      <c r="A20" s="63" t="s">
        <v>154</v>
      </c>
      <c r="B20" s="132" t="s">
        <v>155</v>
      </c>
      <c r="C20" s="65"/>
      <c r="D20" s="66"/>
      <c r="E20" s="66"/>
      <c r="F20" s="66"/>
      <c r="G20" s="67"/>
      <c r="H20" s="67"/>
      <c r="I20" s="68"/>
      <c r="J20" s="68"/>
      <c r="K20" s="69"/>
      <c r="L20" s="67"/>
      <c r="M20" s="70"/>
      <c r="N20" s="71">
        <f t="shared" si="8"/>
        <v>0</v>
      </c>
      <c r="O20" s="70"/>
      <c r="P20" s="70"/>
      <c r="Q20" s="70"/>
      <c r="R20" s="70"/>
      <c r="S20" s="70"/>
      <c r="T20" s="70"/>
      <c r="U20" s="70">
        <f t="shared" si="9"/>
        <v>0</v>
      </c>
      <c r="V20" s="70"/>
      <c r="W20" s="70"/>
      <c r="X20" s="72"/>
      <c r="Y20" s="66"/>
      <c r="Z20" s="75">
        <f t="shared" si="7"/>
        <v>0</v>
      </c>
      <c r="AA20" s="66"/>
      <c r="AB20" s="73"/>
      <c r="AC20" s="74"/>
      <c r="AD20" s="62">
        <f t="shared" si="4"/>
        <v>0</v>
      </c>
      <c r="AE20" s="73"/>
      <c r="AF20" s="75"/>
    </row>
    <row r="21" spans="1:32" s="56" customFormat="1" hidden="1" x14ac:dyDescent="0.25">
      <c r="A21" s="63" t="s">
        <v>156</v>
      </c>
      <c r="B21" s="132" t="s">
        <v>157</v>
      </c>
      <c r="C21" s="65"/>
      <c r="D21" s="66"/>
      <c r="E21" s="66"/>
      <c r="F21" s="66"/>
      <c r="G21" s="67"/>
      <c r="H21" s="67"/>
      <c r="I21" s="68"/>
      <c r="J21" s="68"/>
      <c r="K21" s="69"/>
      <c r="L21" s="67"/>
      <c r="M21" s="70">
        <f>87.4-87.4</f>
        <v>0</v>
      </c>
      <c r="N21" s="71">
        <f t="shared" si="8"/>
        <v>0</v>
      </c>
      <c r="O21" s="70"/>
      <c r="P21" s="70"/>
      <c r="Q21" s="70"/>
      <c r="R21" s="70"/>
      <c r="S21" s="70"/>
      <c r="T21" s="70"/>
      <c r="U21" s="70">
        <f t="shared" si="9"/>
        <v>0</v>
      </c>
      <c r="V21" s="70"/>
      <c r="W21" s="70"/>
      <c r="X21" s="72"/>
      <c r="Y21" s="66"/>
      <c r="Z21" s="75">
        <f t="shared" si="7"/>
        <v>0</v>
      </c>
      <c r="AA21" s="66"/>
      <c r="AB21" s="73"/>
      <c r="AC21" s="74"/>
      <c r="AD21" s="62">
        <f t="shared" si="4"/>
        <v>0</v>
      </c>
      <c r="AE21" s="73"/>
      <c r="AF21" s="75"/>
    </row>
    <row r="22" spans="1:32" s="56" customFormat="1" hidden="1" x14ac:dyDescent="0.25">
      <c r="A22" s="63" t="s">
        <v>158</v>
      </c>
      <c r="B22" s="132" t="s">
        <v>159</v>
      </c>
      <c r="C22" s="65"/>
      <c r="D22" s="66"/>
      <c r="E22" s="66"/>
      <c r="F22" s="66"/>
      <c r="G22" s="67"/>
      <c r="H22" s="67"/>
      <c r="I22" s="68"/>
      <c r="J22" s="68"/>
      <c r="K22" s="69"/>
      <c r="L22" s="67"/>
      <c r="M22" s="70"/>
      <c r="N22" s="71">
        <f t="shared" si="8"/>
        <v>0</v>
      </c>
      <c r="O22" s="70"/>
      <c r="P22" s="70"/>
      <c r="Q22" s="70"/>
      <c r="R22" s="70"/>
      <c r="S22" s="70"/>
      <c r="T22" s="70"/>
      <c r="U22" s="70">
        <f t="shared" si="9"/>
        <v>0</v>
      </c>
      <c r="V22" s="70"/>
      <c r="W22" s="70"/>
      <c r="X22" s="72"/>
      <c r="Y22" s="66"/>
      <c r="Z22" s="75">
        <f t="shared" si="7"/>
        <v>0</v>
      </c>
      <c r="AA22" s="66"/>
      <c r="AB22" s="73"/>
      <c r="AC22" s="74"/>
      <c r="AD22" s="62">
        <f t="shared" si="4"/>
        <v>0</v>
      </c>
      <c r="AE22" s="73"/>
      <c r="AF22" s="75"/>
    </row>
    <row r="23" spans="1:32" s="56" customFormat="1" ht="31.5" hidden="1" x14ac:dyDescent="0.25">
      <c r="A23" s="63" t="s">
        <v>160</v>
      </c>
      <c r="B23" s="132" t="s">
        <v>161</v>
      </c>
      <c r="C23" s="65"/>
      <c r="D23" s="66"/>
      <c r="E23" s="66"/>
      <c r="F23" s="66"/>
      <c r="G23" s="67"/>
      <c r="H23" s="67"/>
      <c r="I23" s="68"/>
      <c r="J23" s="68"/>
      <c r="K23" s="69"/>
      <c r="L23" s="67"/>
      <c r="M23" s="70"/>
      <c r="N23" s="71">
        <f t="shared" si="8"/>
        <v>0</v>
      </c>
      <c r="O23" s="70"/>
      <c r="P23" s="70"/>
      <c r="Q23" s="70"/>
      <c r="R23" s="70"/>
      <c r="S23" s="70"/>
      <c r="T23" s="70"/>
      <c r="U23" s="70">
        <f t="shared" si="9"/>
        <v>0</v>
      </c>
      <c r="V23" s="70"/>
      <c r="W23" s="70"/>
      <c r="X23" s="72"/>
      <c r="Y23" s="66"/>
      <c r="Z23" s="75">
        <f t="shared" si="7"/>
        <v>0</v>
      </c>
      <c r="AA23" s="66"/>
      <c r="AB23" s="73"/>
      <c r="AC23" s="74"/>
      <c r="AD23" s="62">
        <f t="shared" si="4"/>
        <v>0</v>
      </c>
      <c r="AE23" s="73"/>
      <c r="AF23" s="75"/>
    </row>
    <row r="24" spans="1:32" s="56" customFormat="1" ht="31.5" hidden="1" x14ac:dyDescent="0.25">
      <c r="A24" s="63" t="s">
        <v>162</v>
      </c>
      <c r="B24" s="132" t="s">
        <v>163</v>
      </c>
      <c r="C24" s="65"/>
      <c r="D24" s="66"/>
      <c r="E24" s="66"/>
      <c r="F24" s="66"/>
      <c r="G24" s="67"/>
      <c r="H24" s="67"/>
      <c r="I24" s="68"/>
      <c r="J24" s="68"/>
      <c r="K24" s="69"/>
      <c r="L24" s="67"/>
      <c r="M24" s="70"/>
      <c r="N24" s="71">
        <f t="shared" si="8"/>
        <v>0</v>
      </c>
      <c r="O24" s="70"/>
      <c r="P24" s="70"/>
      <c r="Q24" s="70"/>
      <c r="R24" s="70"/>
      <c r="S24" s="70"/>
      <c r="T24" s="70"/>
      <c r="U24" s="70">
        <f t="shared" si="9"/>
        <v>0</v>
      </c>
      <c r="V24" s="70"/>
      <c r="W24" s="70"/>
      <c r="X24" s="72"/>
      <c r="Y24" s="66"/>
      <c r="Z24" s="75">
        <f t="shared" si="7"/>
        <v>0</v>
      </c>
      <c r="AA24" s="66"/>
      <c r="AB24" s="73"/>
      <c r="AC24" s="74"/>
      <c r="AD24" s="62">
        <f t="shared" si="4"/>
        <v>0</v>
      </c>
      <c r="AE24" s="73"/>
      <c r="AF24" s="75"/>
    </row>
    <row r="25" spans="1:32" s="56" customFormat="1" hidden="1" x14ac:dyDescent="0.25">
      <c r="A25" s="63" t="s">
        <v>164</v>
      </c>
      <c r="B25" s="132" t="s">
        <v>165</v>
      </c>
      <c r="C25" s="65"/>
      <c r="D25" s="66"/>
      <c r="E25" s="66"/>
      <c r="F25" s="66"/>
      <c r="G25" s="67"/>
      <c r="H25" s="67"/>
      <c r="I25" s="68"/>
      <c r="J25" s="68"/>
      <c r="K25" s="69"/>
      <c r="L25" s="67"/>
      <c r="M25" s="70"/>
      <c r="N25" s="71">
        <f t="shared" si="8"/>
        <v>0</v>
      </c>
      <c r="O25" s="70"/>
      <c r="P25" s="70"/>
      <c r="Q25" s="70"/>
      <c r="R25" s="70"/>
      <c r="S25" s="70"/>
      <c r="T25" s="70"/>
      <c r="U25" s="70">
        <f t="shared" si="9"/>
        <v>0</v>
      </c>
      <c r="V25" s="70"/>
      <c r="W25" s="70"/>
      <c r="X25" s="72"/>
      <c r="Y25" s="66"/>
      <c r="Z25" s="75">
        <f t="shared" si="7"/>
        <v>0</v>
      </c>
      <c r="AA25" s="66"/>
      <c r="AB25" s="73"/>
      <c r="AC25" s="74"/>
      <c r="AD25" s="62">
        <f t="shared" si="4"/>
        <v>0</v>
      </c>
      <c r="AE25" s="73"/>
      <c r="AF25" s="75"/>
    </row>
    <row r="26" spans="1:32" s="56" customFormat="1" ht="31.5" hidden="1" x14ac:dyDescent="0.25">
      <c r="A26" s="63" t="s">
        <v>166</v>
      </c>
      <c r="B26" s="132" t="s">
        <v>167</v>
      </c>
      <c r="C26" s="65"/>
      <c r="D26" s="66"/>
      <c r="E26" s="66"/>
      <c r="F26" s="66"/>
      <c r="G26" s="67"/>
      <c r="H26" s="67"/>
      <c r="I26" s="68"/>
      <c r="J26" s="68"/>
      <c r="K26" s="69"/>
      <c r="L26" s="67"/>
      <c r="M26" s="70"/>
      <c r="N26" s="71">
        <f t="shared" si="8"/>
        <v>0</v>
      </c>
      <c r="O26" s="70"/>
      <c r="P26" s="70"/>
      <c r="Q26" s="70"/>
      <c r="R26" s="70"/>
      <c r="S26" s="70"/>
      <c r="T26" s="70"/>
      <c r="U26" s="70">
        <f t="shared" si="9"/>
        <v>0</v>
      </c>
      <c r="V26" s="70"/>
      <c r="W26" s="70"/>
      <c r="X26" s="72"/>
      <c r="Y26" s="66"/>
      <c r="Z26" s="75">
        <f t="shared" si="7"/>
        <v>0</v>
      </c>
      <c r="AA26" s="66"/>
      <c r="AB26" s="73"/>
      <c r="AC26" s="74"/>
      <c r="AD26" s="62">
        <f t="shared" si="4"/>
        <v>0</v>
      </c>
      <c r="AE26" s="73"/>
      <c r="AF26" s="75"/>
    </row>
    <row r="27" spans="1:32" s="56" customFormat="1" ht="31.5" x14ac:dyDescent="0.25">
      <c r="A27" s="63" t="s">
        <v>168</v>
      </c>
      <c r="B27" s="132" t="s">
        <v>169</v>
      </c>
      <c r="C27" s="65">
        <v>14.4</v>
      </c>
      <c r="D27" s="66"/>
      <c r="E27" s="66"/>
      <c r="F27" s="66">
        <v>14.4</v>
      </c>
      <c r="G27" s="67">
        <v>14.4</v>
      </c>
      <c r="H27" s="67">
        <v>1.2</v>
      </c>
      <c r="I27" s="68"/>
      <c r="J27" s="68"/>
      <c r="K27" s="69"/>
      <c r="L27" s="67"/>
      <c r="M27" s="70">
        <v>0</v>
      </c>
      <c r="N27" s="71">
        <f t="shared" si="8"/>
        <v>-14.4</v>
      </c>
      <c r="O27" s="70"/>
      <c r="P27" s="70"/>
      <c r="Q27" s="70"/>
      <c r="R27" s="70"/>
      <c r="S27" s="70"/>
      <c r="T27" s="70"/>
      <c r="U27" s="70">
        <f t="shared" si="9"/>
        <v>0</v>
      </c>
      <c r="V27" s="70"/>
      <c r="W27" s="70">
        <v>13.2</v>
      </c>
      <c r="X27" s="72"/>
      <c r="Y27" s="66"/>
      <c r="Z27" s="75">
        <f t="shared" si="7"/>
        <v>13.2</v>
      </c>
      <c r="AA27" s="66"/>
      <c r="AB27" s="73"/>
      <c r="AC27" s="74"/>
      <c r="AD27" s="62">
        <f t="shared" si="4"/>
        <v>13.2</v>
      </c>
      <c r="AE27" s="73"/>
      <c r="AF27" s="75"/>
    </row>
    <row r="28" spans="1:32" s="56" customFormat="1" hidden="1" x14ac:dyDescent="0.25">
      <c r="A28" s="63" t="s">
        <v>170</v>
      </c>
      <c r="B28" s="132" t="s">
        <v>171</v>
      </c>
      <c r="C28" s="66">
        <v>0</v>
      </c>
      <c r="D28" s="66"/>
      <c r="E28" s="66"/>
      <c r="F28" s="66"/>
      <c r="G28" s="67"/>
      <c r="H28" s="68"/>
      <c r="I28" s="68"/>
      <c r="J28" s="68"/>
      <c r="K28" s="69"/>
      <c r="L28" s="67"/>
      <c r="M28" s="70"/>
      <c r="N28" s="71">
        <f t="shared" ref="N28:N48" si="10">M28-D28</f>
        <v>0</v>
      </c>
      <c r="O28" s="70"/>
      <c r="P28" s="70"/>
      <c r="Q28" s="70"/>
      <c r="R28" s="70"/>
      <c r="S28" s="70"/>
      <c r="T28" s="70"/>
      <c r="U28" s="78">
        <f t="shared" si="9"/>
        <v>0</v>
      </c>
      <c r="V28" s="70"/>
      <c r="W28" s="70"/>
      <c r="X28" s="66"/>
      <c r="Y28" s="66"/>
      <c r="Z28" s="62">
        <f t="shared" si="7"/>
        <v>0</v>
      </c>
      <c r="AA28" s="66"/>
      <c r="AB28" s="73"/>
      <c r="AC28" s="79"/>
      <c r="AD28" s="62">
        <f t="shared" si="4"/>
        <v>0</v>
      </c>
      <c r="AE28" s="72"/>
      <c r="AF28" s="72"/>
    </row>
    <row r="29" spans="1:32" s="56" customFormat="1" hidden="1" x14ac:dyDescent="0.25">
      <c r="A29" s="63" t="s">
        <v>172</v>
      </c>
      <c r="B29" s="132" t="s">
        <v>173</v>
      </c>
      <c r="C29" s="66"/>
      <c r="D29" s="66"/>
      <c r="E29" s="66"/>
      <c r="F29" s="66"/>
      <c r="G29" s="67"/>
      <c r="H29" s="68"/>
      <c r="I29" s="68"/>
      <c r="J29" s="68"/>
      <c r="K29" s="69"/>
      <c r="L29" s="67"/>
      <c r="M29" s="70"/>
      <c r="N29" s="71"/>
      <c r="O29" s="70"/>
      <c r="P29" s="70"/>
      <c r="Q29" s="70"/>
      <c r="R29" s="70"/>
      <c r="S29" s="70"/>
      <c r="T29" s="70"/>
      <c r="U29" s="78"/>
      <c r="V29" s="70"/>
      <c r="W29" s="70"/>
      <c r="X29" s="66"/>
      <c r="Y29" s="66"/>
      <c r="Z29" s="62"/>
      <c r="AA29" s="66"/>
      <c r="AB29" s="73"/>
      <c r="AC29" s="79"/>
      <c r="AD29" s="62"/>
      <c r="AE29" s="72"/>
      <c r="AF29" s="72"/>
    </row>
    <row r="30" spans="1:32" s="56" customFormat="1" x14ac:dyDescent="0.25">
      <c r="A30" s="59" t="s">
        <v>174</v>
      </c>
      <c r="B30" s="131" t="s">
        <v>175</v>
      </c>
      <c r="C30" s="60">
        <f>C31+C32+C33+C34+C35+C36+C37+C38+C39+C40+C41+C42+C45+C46</f>
        <v>7424.6999999999989</v>
      </c>
      <c r="D30" s="60">
        <f t="shared" ref="D30:H30" si="11">D31+D32+D33+D34+D35+D36+D37+D38+D39+D40+D41+D42+D45+D46</f>
        <v>4388.2000000000007</v>
      </c>
      <c r="E30" s="60">
        <f t="shared" si="11"/>
        <v>32</v>
      </c>
      <c r="F30" s="60">
        <f t="shared" si="11"/>
        <v>332.79999999999995</v>
      </c>
      <c r="G30" s="60">
        <f t="shared" si="11"/>
        <v>9018.1000000000022</v>
      </c>
      <c r="H30" s="60">
        <f t="shared" si="11"/>
        <v>8634.9999999999982</v>
      </c>
      <c r="I30" s="60">
        <f t="shared" ref="I30:K30" si="12">I31+I32+I33+I34+I35+I36+I37+I38+I39+I40+I41+I42</f>
        <v>0</v>
      </c>
      <c r="J30" s="60">
        <f t="shared" si="12"/>
        <v>0</v>
      </c>
      <c r="K30" s="60">
        <f t="shared" si="12"/>
        <v>0</v>
      </c>
      <c r="L30" s="60"/>
      <c r="M30" s="60">
        <f>M31+M32+M33+M34+M35+M36+M37+M38+M39+M40+M41+M42+M45+M46+M43+M44+M47</f>
        <v>4388</v>
      </c>
      <c r="N30" s="61">
        <f>N31+N32+N33+N34+N35+N36+N37+N38+N39+N40+N41+N42+N45+N46+N43+N44+N47</f>
        <v>-333.00000000000006</v>
      </c>
      <c r="O30" s="60">
        <f>O31+O32+O33+O34+O35+O36+O37+O38+O39+O40+O41+O42+O45+O46+O43+O44+O47</f>
        <v>32</v>
      </c>
      <c r="P30" s="60">
        <f t="shared" ref="P30:Q30" si="13">P31+P32+P33+P34+P35+P36+P37+P38+P39+P40+P41+P42+P45+P46+P43</f>
        <v>0</v>
      </c>
      <c r="Q30" s="60">
        <f t="shared" si="13"/>
        <v>0</v>
      </c>
      <c r="R30" s="60">
        <f>R31+R32+R33+R34+R35+R36+R37+R38+R39+R40+R41+R42+R45+R46+R43+R44+R47</f>
        <v>0</v>
      </c>
      <c r="S30" s="60">
        <f>S31+S32+S33+S34+S35+S36+S37+S38+S39+S40+S41+S42+S45+S46+S43+S44+S47</f>
        <v>0</v>
      </c>
      <c r="T30" s="60">
        <f>T31+T32+T33+T34+T35+T36+T37+T38+T39+T40+T41+T42+T45+T46+T43+T44+T47</f>
        <v>682.4</v>
      </c>
      <c r="U30" s="60">
        <f>Q30+R30+S30+T30</f>
        <v>682.4</v>
      </c>
      <c r="V30" s="60">
        <f>V31+V32+V33+V34+V35+V36+V37+V38+V39+V40+V41+V42+V45+V46+V43+V44+V47</f>
        <v>3152</v>
      </c>
      <c r="W30" s="60">
        <f>W31+W32+W33+W34+W35+W36+W37+W38+W39+W40+W41+W42+W45+W46+W43+W44+W47</f>
        <v>0</v>
      </c>
      <c r="X30" s="60">
        <f t="shared" ref="X30:AA30" si="14">X31+X32+X33+X34+X35+X36+X37+X38+X39+X40+X41+X42</f>
        <v>0</v>
      </c>
      <c r="Y30" s="60">
        <f t="shared" si="14"/>
        <v>0</v>
      </c>
      <c r="Z30" s="266">
        <f t="shared" ref="Z30:Z61" si="15">M30+O30+U30+V30+W30+X30</f>
        <v>8254.4</v>
      </c>
      <c r="AA30" s="60">
        <f t="shared" si="14"/>
        <v>0</v>
      </c>
      <c r="AB30" s="60">
        <f>AB31+AB32+AB33+AB34+AB35+AB36+AB37+AB38+AB39+AB40+AB41+AB42+AB45+AB46+AB43+AB44+AB47</f>
        <v>1656.8</v>
      </c>
      <c r="AC30" s="80"/>
      <c r="AD30" s="62">
        <f t="shared" si="4"/>
        <v>9911.1999999999989</v>
      </c>
      <c r="AE30" s="60">
        <f>AE31+AE32+AE33+AE34+AE35+AE36+AE37+AE38+AE39+AE40+AE41+AE42+AE45+AE46+AE43+AE44+AE47</f>
        <v>20</v>
      </c>
      <c r="AF30" s="60"/>
    </row>
    <row r="31" spans="1:32" s="56" customFormat="1" ht="19.5" customHeight="1" x14ac:dyDescent="0.25">
      <c r="A31" s="63" t="s">
        <v>176</v>
      </c>
      <c r="B31" s="132" t="s">
        <v>177</v>
      </c>
      <c r="C31" s="65">
        <v>2113.8000000000002</v>
      </c>
      <c r="D31" s="66">
        <v>100</v>
      </c>
      <c r="E31" s="66"/>
      <c r="F31" s="66">
        <v>13.8</v>
      </c>
      <c r="G31" s="67">
        <v>3277.1</v>
      </c>
      <c r="H31" s="67">
        <v>3132.8</v>
      </c>
      <c r="I31" s="68"/>
      <c r="J31" s="68"/>
      <c r="K31" s="69"/>
      <c r="L31" s="81" t="s">
        <v>178</v>
      </c>
      <c r="M31" s="70">
        <v>100</v>
      </c>
      <c r="N31" s="71">
        <f t="shared" ref="N31:N47" si="16">M31-D31-F31</f>
        <v>-13.8</v>
      </c>
      <c r="O31" s="70"/>
      <c r="P31" s="70"/>
      <c r="Q31" s="70"/>
      <c r="R31" s="70"/>
      <c r="S31" s="70"/>
      <c r="T31" s="70"/>
      <c r="U31" s="70">
        <f t="shared" si="9"/>
        <v>0</v>
      </c>
      <c r="V31" s="70">
        <v>3000</v>
      </c>
      <c r="W31" s="70"/>
      <c r="X31" s="72"/>
      <c r="Y31" s="66"/>
      <c r="Z31" s="75">
        <f t="shared" si="15"/>
        <v>3100</v>
      </c>
      <c r="AA31" s="66"/>
      <c r="AB31" s="73">
        <f>500-100-400</f>
        <v>0</v>
      </c>
      <c r="AC31" s="82"/>
      <c r="AD31" s="62">
        <f t="shared" si="4"/>
        <v>3100</v>
      </c>
      <c r="AE31" s="73"/>
      <c r="AF31" s="75"/>
    </row>
    <row r="32" spans="1:32" s="56" customFormat="1" ht="32.25" customHeight="1" x14ac:dyDescent="0.25">
      <c r="A32" s="63" t="s">
        <v>179</v>
      </c>
      <c r="B32" s="132" t="s">
        <v>180</v>
      </c>
      <c r="C32" s="65">
        <v>8</v>
      </c>
      <c r="D32" s="66">
        <v>8</v>
      </c>
      <c r="E32" s="66"/>
      <c r="F32" s="66"/>
      <c r="G32" s="67">
        <v>6.7</v>
      </c>
      <c r="H32" s="67">
        <v>5.9</v>
      </c>
      <c r="I32" s="68"/>
      <c r="J32" s="68"/>
      <c r="K32" s="69"/>
      <c r="L32" s="64" t="s">
        <v>180</v>
      </c>
      <c r="M32" s="70">
        <v>8</v>
      </c>
      <c r="N32" s="71">
        <f t="shared" si="16"/>
        <v>0</v>
      </c>
      <c r="O32" s="70"/>
      <c r="P32" s="70"/>
      <c r="Q32" s="70"/>
      <c r="R32" s="70"/>
      <c r="S32" s="70">
        <v>0</v>
      </c>
      <c r="T32" s="70"/>
      <c r="U32" s="70">
        <f t="shared" si="9"/>
        <v>0</v>
      </c>
      <c r="V32" s="70"/>
      <c r="W32" s="70"/>
      <c r="X32" s="72"/>
      <c r="Y32" s="66"/>
      <c r="Z32" s="75">
        <f t="shared" si="15"/>
        <v>8</v>
      </c>
      <c r="AA32" s="66"/>
      <c r="AB32" s="73"/>
      <c r="AC32" s="74"/>
      <c r="AD32" s="62">
        <f t="shared" si="4"/>
        <v>8</v>
      </c>
      <c r="AE32" s="73"/>
      <c r="AF32" s="75"/>
    </row>
    <row r="33" spans="1:32" s="56" customFormat="1" ht="19.5" customHeight="1" x14ac:dyDescent="0.25">
      <c r="A33" s="63" t="s">
        <v>181</v>
      </c>
      <c r="B33" s="132" t="s">
        <v>182</v>
      </c>
      <c r="C33" s="65">
        <v>5</v>
      </c>
      <c r="D33" s="66">
        <v>5</v>
      </c>
      <c r="E33" s="66"/>
      <c r="F33" s="66"/>
      <c r="G33" s="67">
        <v>5</v>
      </c>
      <c r="H33" s="67">
        <v>5</v>
      </c>
      <c r="I33" s="68"/>
      <c r="J33" s="68"/>
      <c r="K33" s="69"/>
      <c r="L33" s="64" t="s">
        <v>182</v>
      </c>
      <c r="M33" s="70">
        <v>5</v>
      </c>
      <c r="N33" s="71">
        <f t="shared" si="16"/>
        <v>0</v>
      </c>
      <c r="O33" s="70"/>
      <c r="P33" s="70"/>
      <c r="Q33" s="70"/>
      <c r="R33" s="70"/>
      <c r="S33" s="70"/>
      <c r="T33" s="70"/>
      <c r="U33" s="70">
        <f t="shared" si="9"/>
        <v>0</v>
      </c>
      <c r="V33" s="70"/>
      <c r="W33" s="70"/>
      <c r="X33" s="72"/>
      <c r="Y33" s="66"/>
      <c r="Z33" s="75">
        <f t="shared" si="15"/>
        <v>5</v>
      </c>
      <c r="AA33" s="66"/>
      <c r="AB33" s="73"/>
      <c r="AC33" s="74"/>
      <c r="AD33" s="62">
        <f t="shared" si="4"/>
        <v>5</v>
      </c>
      <c r="AE33" s="73"/>
      <c r="AF33" s="75"/>
    </row>
    <row r="34" spans="1:32" s="56" customFormat="1" ht="20.25" customHeight="1" x14ac:dyDescent="0.25">
      <c r="A34" s="63" t="s">
        <v>183</v>
      </c>
      <c r="B34" s="132" t="s">
        <v>184</v>
      </c>
      <c r="C34" s="65">
        <v>16</v>
      </c>
      <c r="D34" s="66">
        <v>16</v>
      </c>
      <c r="E34" s="66"/>
      <c r="F34" s="66"/>
      <c r="G34" s="67">
        <v>16</v>
      </c>
      <c r="H34" s="67">
        <v>16</v>
      </c>
      <c r="I34" s="68"/>
      <c r="J34" s="68"/>
      <c r="K34" s="69"/>
      <c r="L34" s="76" t="s">
        <v>185</v>
      </c>
      <c r="M34" s="70">
        <v>14.6</v>
      </c>
      <c r="N34" s="71">
        <f t="shared" si="16"/>
        <v>-1.4000000000000004</v>
      </c>
      <c r="O34" s="70"/>
      <c r="P34" s="70"/>
      <c r="Q34" s="70"/>
      <c r="R34" s="70"/>
      <c r="S34" s="70"/>
      <c r="T34" s="70"/>
      <c r="U34" s="70">
        <f t="shared" si="9"/>
        <v>0</v>
      </c>
      <c r="V34" s="70"/>
      <c r="W34" s="70"/>
      <c r="X34" s="72"/>
      <c r="Y34" s="66"/>
      <c r="Z34" s="75">
        <f t="shared" si="15"/>
        <v>14.6</v>
      </c>
      <c r="AA34" s="66"/>
      <c r="AB34" s="73"/>
      <c r="AC34" s="74"/>
      <c r="AD34" s="62">
        <f t="shared" si="4"/>
        <v>14.6</v>
      </c>
      <c r="AE34" s="73"/>
      <c r="AF34" s="75"/>
    </row>
    <row r="35" spans="1:32" s="56" customFormat="1" ht="36" customHeight="1" x14ac:dyDescent="0.25">
      <c r="A35" s="63" t="s">
        <v>186</v>
      </c>
      <c r="B35" s="132" t="s">
        <v>187</v>
      </c>
      <c r="C35" s="65">
        <v>395.2</v>
      </c>
      <c r="D35" s="66"/>
      <c r="E35" s="66">
        <v>32</v>
      </c>
      <c r="F35" s="66">
        <v>211.2</v>
      </c>
      <c r="G35" s="67">
        <v>435.5</v>
      </c>
      <c r="H35" s="67">
        <v>311.10000000000002</v>
      </c>
      <c r="I35" s="68"/>
      <c r="J35" s="68"/>
      <c r="K35" s="69"/>
      <c r="L35" s="76" t="s">
        <v>188</v>
      </c>
      <c r="M35" s="70">
        <v>1.7</v>
      </c>
      <c r="N35" s="71">
        <f t="shared" si="16"/>
        <v>-209.5</v>
      </c>
      <c r="O35" s="70">
        <v>32</v>
      </c>
      <c r="P35" s="70"/>
      <c r="Q35" s="70"/>
      <c r="R35" s="70"/>
      <c r="S35" s="70"/>
      <c r="T35" s="70"/>
      <c r="U35" s="70">
        <f t="shared" si="9"/>
        <v>0</v>
      </c>
      <c r="V35" s="70">
        <v>152</v>
      </c>
      <c r="W35" s="70"/>
      <c r="X35" s="72"/>
      <c r="Y35" s="66"/>
      <c r="Z35" s="75">
        <f t="shared" si="15"/>
        <v>185.7</v>
      </c>
      <c r="AA35" s="66"/>
      <c r="AB35" s="73"/>
      <c r="AC35" s="74"/>
      <c r="AD35" s="62">
        <f t="shared" si="4"/>
        <v>185.7</v>
      </c>
      <c r="AE35" s="73"/>
      <c r="AF35" s="75"/>
    </row>
    <row r="36" spans="1:32" s="56" customFormat="1" hidden="1" x14ac:dyDescent="0.25">
      <c r="A36" s="63" t="s">
        <v>189</v>
      </c>
      <c r="B36" s="132" t="s">
        <v>190</v>
      </c>
      <c r="C36" s="65"/>
      <c r="D36" s="66"/>
      <c r="E36" s="66"/>
      <c r="F36" s="66"/>
      <c r="G36" s="67">
        <v>14.3</v>
      </c>
      <c r="H36" s="67">
        <v>14.3</v>
      </c>
      <c r="I36" s="68"/>
      <c r="J36" s="68"/>
      <c r="K36" s="69"/>
      <c r="L36" s="76"/>
      <c r="M36" s="70">
        <v>0</v>
      </c>
      <c r="N36" s="71">
        <f t="shared" si="16"/>
        <v>0</v>
      </c>
      <c r="O36" s="70"/>
      <c r="P36" s="70"/>
      <c r="Q36" s="70"/>
      <c r="R36" s="70"/>
      <c r="S36" s="70"/>
      <c r="T36" s="70"/>
      <c r="U36" s="70">
        <f t="shared" si="9"/>
        <v>0</v>
      </c>
      <c r="V36" s="70"/>
      <c r="W36" s="70"/>
      <c r="X36" s="72"/>
      <c r="Y36" s="66"/>
      <c r="Z36" s="75">
        <f t="shared" si="15"/>
        <v>0</v>
      </c>
      <c r="AA36" s="66"/>
      <c r="AB36" s="73"/>
      <c r="AC36" s="74"/>
      <c r="AD36" s="62">
        <f t="shared" si="4"/>
        <v>0</v>
      </c>
      <c r="AE36" s="73"/>
      <c r="AF36" s="75"/>
    </row>
    <row r="37" spans="1:32" s="56" customFormat="1" hidden="1" x14ac:dyDescent="0.25">
      <c r="A37" s="63" t="s">
        <v>191</v>
      </c>
      <c r="B37" s="132" t="s">
        <v>192</v>
      </c>
      <c r="C37" s="66"/>
      <c r="D37" s="66"/>
      <c r="E37" s="66"/>
      <c r="F37" s="66"/>
      <c r="G37" s="67"/>
      <c r="H37" s="67"/>
      <c r="I37" s="68"/>
      <c r="J37" s="68"/>
      <c r="K37" s="69"/>
      <c r="L37" s="76"/>
      <c r="M37" s="70"/>
      <c r="N37" s="71">
        <f t="shared" si="16"/>
        <v>0</v>
      </c>
      <c r="O37" s="70"/>
      <c r="P37" s="70"/>
      <c r="Q37" s="70"/>
      <c r="R37" s="70"/>
      <c r="S37" s="70"/>
      <c r="T37" s="70"/>
      <c r="U37" s="70">
        <f t="shared" si="9"/>
        <v>0</v>
      </c>
      <c r="V37" s="70"/>
      <c r="W37" s="70"/>
      <c r="X37" s="72"/>
      <c r="Y37" s="66"/>
      <c r="Z37" s="75">
        <f t="shared" si="15"/>
        <v>0</v>
      </c>
      <c r="AA37" s="66"/>
      <c r="AB37" s="73"/>
      <c r="AC37" s="79"/>
      <c r="AD37" s="62">
        <f t="shared" si="4"/>
        <v>0</v>
      </c>
      <c r="AE37" s="75"/>
      <c r="AF37" s="75"/>
    </row>
    <row r="38" spans="1:32" s="56" customFormat="1" ht="22.5" customHeight="1" x14ac:dyDescent="0.25">
      <c r="A38" s="63" t="s">
        <v>193</v>
      </c>
      <c r="B38" s="132" t="s">
        <v>194</v>
      </c>
      <c r="C38" s="65">
        <v>730</v>
      </c>
      <c r="D38" s="66">
        <v>730</v>
      </c>
      <c r="E38" s="66"/>
      <c r="F38" s="66"/>
      <c r="G38" s="67">
        <v>753.8</v>
      </c>
      <c r="H38" s="67">
        <v>724</v>
      </c>
      <c r="I38" s="68"/>
      <c r="J38" s="68"/>
      <c r="K38" s="69"/>
      <c r="L38" s="74" t="s">
        <v>195</v>
      </c>
      <c r="M38" s="70">
        <v>560</v>
      </c>
      <c r="N38" s="71">
        <f t="shared" si="16"/>
        <v>-170</v>
      </c>
      <c r="O38" s="70"/>
      <c r="P38" s="70"/>
      <c r="Q38" s="70"/>
      <c r="R38" s="70"/>
      <c r="S38" s="70"/>
      <c r="T38" s="70"/>
      <c r="U38" s="70">
        <f t="shared" si="9"/>
        <v>0</v>
      </c>
      <c r="V38" s="70"/>
      <c r="W38" s="70"/>
      <c r="X38" s="72"/>
      <c r="Y38" s="75"/>
      <c r="Z38" s="75">
        <f t="shared" si="15"/>
        <v>560</v>
      </c>
      <c r="AA38" s="75"/>
      <c r="AB38" s="73">
        <v>200</v>
      </c>
      <c r="AC38" s="74" t="s">
        <v>196</v>
      </c>
      <c r="AD38" s="62">
        <f t="shared" si="4"/>
        <v>760</v>
      </c>
      <c r="AE38" s="73"/>
      <c r="AF38" s="75"/>
    </row>
    <row r="39" spans="1:32" s="56" customFormat="1" ht="21" customHeight="1" x14ac:dyDescent="0.25">
      <c r="A39" s="63" t="s">
        <v>197</v>
      </c>
      <c r="B39" s="132" t="s">
        <v>787</v>
      </c>
      <c r="C39" s="65">
        <v>50</v>
      </c>
      <c r="D39" s="66">
        <v>50</v>
      </c>
      <c r="E39" s="66"/>
      <c r="F39" s="66"/>
      <c r="G39" s="67">
        <v>11.7</v>
      </c>
      <c r="H39" s="67">
        <v>11.7</v>
      </c>
      <c r="I39" s="68"/>
      <c r="J39" s="68"/>
      <c r="K39" s="69"/>
      <c r="L39" s="76" t="s">
        <v>198</v>
      </c>
      <c r="M39" s="70">
        <v>50</v>
      </c>
      <c r="N39" s="71">
        <f t="shared" si="16"/>
        <v>0</v>
      </c>
      <c r="O39" s="70"/>
      <c r="P39" s="70"/>
      <c r="Q39" s="70"/>
      <c r="R39" s="70"/>
      <c r="S39" s="70"/>
      <c r="T39" s="70"/>
      <c r="U39" s="70">
        <f t="shared" si="9"/>
        <v>0</v>
      </c>
      <c r="V39" s="70"/>
      <c r="W39" s="70"/>
      <c r="X39" s="72"/>
      <c r="Y39" s="66"/>
      <c r="Z39" s="75">
        <f t="shared" si="15"/>
        <v>50</v>
      </c>
      <c r="AA39" s="66"/>
      <c r="AB39" s="73"/>
      <c r="AC39" s="74"/>
      <c r="AD39" s="62">
        <f t="shared" si="4"/>
        <v>50</v>
      </c>
      <c r="AE39" s="73">
        <v>20</v>
      </c>
      <c r="AF39" s="75"/>
    </row>
    <row r="40" spans="1:32" s="56" customFormat="1" ht="24" customHeight="1" x14ac:dyDescent="0.25">
      <c r="A40" s="63" t="s">
        <v>199</v>
      </c>
      <c r="B40" s="132" t="s">
        <v>200</v>
      </c>
      <c r="C40" s="65">
        <v>2972.7</v>
      </c>
      <c r="D40" s="66">
        <v>2868.8</v>
      </c>
      <c r="E40" s="66"/>
      <c r="F40" s="66">
        <v>103.9</v>
      </c>
      <c r="G40" s="67">
        <v>3716.4</v>
      </c>
      <c r="H40" s="67">
        <v>3703.6</v>
      </c>
      <c r="I40" s="68"/>
      <c r="J40" s="68"/>
      <c r="K40" s="69"/>
      <c r="L40" s="74" t="s">
        <v>201</v>
      </c>
      <c r="M40" s="70">
        <v>3119</v>
      </c>
      <c r="N40" s="71">
        <f t="shared" si="16"/>
        <v>146.29999999999981</v>
      </c>
      <c r="O40" s="70"/>
      <c r="P40" s="70"/>
      <c r="Q40" s="70"/>
      <c r="R40" s="70"/>
      <c r="S40" s="70"/>
      <c r="T40" s="70"/>
      <c r="U40" s="70">
        <f t="shared" si="9"/>
        <v>0</v>
      </c>
      <c r="V40" s="70"/>
      <c r="W40" s="70"/>
      <c r="X40" s="72"/>
      <c r="Y40" s="75"/>
      <c r="Z40" s="75">
        <f t="shared" si="15"/>
        <v>3119</v>
      </c>
      <c r="AA40" s="75"/>
      <c r="AB40" s="73">
        <v>1175</v>
      </c>
      <c r="AC40" s="74" t="s">
        <v>202</v>
      </c>
      <c r="AD40" s="62">
        <f t="shared" si="4"/>
        <v>4294</v>
      </c>
      <c r="AE40" s="73"/>
      <c r="AF40" s="75"/>
    </row>
    <row r="41" spans="1:32" s="56" customFormat="1" ht="18.75" customHeight="1" x14ac:dyDescent="0.25">
      <c r="A41" s="63" t="s">
        <v>203</v>
      </c>
      <c r="B41" s="132" t="s">
        <v>204</v>
      </c>
      <c r="C41" s="65">
        <v>6.9</v>
      </c>
      <c r="D41" s="66">
        <v>6.6</v>
      </c>
      <c r="E41" s="66"/>
      <c r="F41" s="66">
        <v>0.3</v>
      </c>
      <c r="G41" s="67"/>
      <c r="H41" s="67">
        <v>0</v>
      </c>
      <c r="I41" s="68"/>
      <c r="J41" s="68"/>
      <c r="K41" s="69"/>
      <c r="L41" s="64" t="s">
        <v>204</v>
      </c>
      <c r="M41" s="70">
        <v>0.7</v>
      </c>
      <c r="N41" s="71">
        <f t="shared" si="16"/>
        <v>-6.1999999999999993</v>
      </c>
      <c r="O41" s="70"/>
      <c r="P41" s="70"/>
      <c r="Q41" s="70"/>
      <c r="R41" s="70"/>
      <c r="S41" s="70"/>
      <c r="T41" s="70"/>
      <c r="U41" s="70">
        <f t="shared" si="9"/>
        <v>0</v>
      </c>
      <c r="V41" s="70"/>
      <c r="W41" s="70"/>
      <c r="X41" s="72"/>
      <c r="Y41" s="66"/>
      <c r="Z41" s="75">
        <f t="shared" si="15"/>
        <v>0.7</v>
      </c>
      <c r="AA41" s="66"/>
      <c r="AB41" s="73"/>
      <c r="AC41" s="74"/>
      <c r="AD41" s="62">
        <f t="shared" si="4"/>
        <v>0.7</v>
      </c>
      <c r="AE41" s="73"/>
      <c r="AF41" s="75"/>
    </row>
    <row r="42" spans="1:32" s="56" customFormat="1" hidden="1" x14ac:dyDescent="0.25">
      <c r="A42" s="63" t="s">
        <v>205</v>
      </c>
      <c r="B42" s="132" t="s">
        <v>206</v>
      </c>
      <c r="C42" s="65">
        <v>60.3</v>
      </c>
      <c r="D42" s="66">
        <v>31.8</v>
      </c>
      <c r="E42" s="66"/>
      <c r="F42" s="66">
        <v>0.2</v>
      </c>
      <c r="G42" s="67">
        <v>0.2</v>
      </c>
      <c r="H42" s="67">
        <v>0</v>
      </c>
      <c r="I42" s="68"/>
      <c r="J42" s="68"/>
      <c r="K42" s="69"/>
      <c r="L42" s="76"/>
      <c r="M42" s="70">
        <v>0</v>
      </c>
      <c r="N42" s="71">
        <f t="shared" si="16"/>
        <v>-32</v>
      </c>
      <c r="O42" s="70"/>
      <c r="P42" s="70"/>
      <c r="Q42" s="70"/>
      <c r="R42" s="70"/>
      <c r="S42" s="70"/>
      <c r="T42" s="70"/>
      <c r="U42" s="70">
        <f t="shared" si="9"/>
        <v>0</v>
      </c>
      <c r="V42" s="70"/>
      <c r="W42" s="70"/>
      <c r="X42" s="72"/>
      <c r="Y42" s="66"/>
      <c r="Z42" s="75">
        <f t="shared" si="15"/>
        <v>0</v>
      </c>
      <c r="AA42" s="66"/>
      <c r="AB42" s="73"/>
      <c r="AC42" s="74"/>
      <c r="AD42" s="62">
        <f t="shared" si="4"/>
        <v>0</v>
      </c>
      <c r="AE42" s="73"/>
      <c r="AF42" s="75"/>
    </row>
    <row r="43" spans="1:32" s="56" customFormat="1" ht="20.25" customHeight="1" x14ac:dyDescent="0.25">
      <c r="A43" s="63" t="s">
        <v>207</v>
      </c>
      <c r="B43" s="132" t="s">
        <v>208</v>
      </c>
      <c r="C43" s="65"/>
      <c r="D43" s="66"/>
      <c r="E43" s="66"/>
      <c r="F43" s="66"/>
      <c r="G43" s="67"/>
      <c r="H43" s="67"/>
      <c r="I43" s="68"/>
      <c r="J43" s="68"/>
      <c r="K43" s="69"/>
      <c r="L43" s="74" t="s">
        <v>209</v>
      </c>
      <c r="M43" s="70">
        <f>(35+198.2)/2</f>
        <v>116.6</v>
      </c>
      <c r="N43" s="71">
        <f t="shared" si="16"/>
        <v>116.6</v>
      </c>
      <c r="O43" s="70"/>
      <c r="P43" s="70"/>
      <c r="Q43" s="70"/>
      <c r="R43" s="70"/>
      <c r="S43" s="70"/>
      <c r="T43" s="70">
        <v>198.2</v>
      </c>
      <c r="U43" s="70">
        <f t="shared" si="9"/>
        <v>198.2</v>
      </c>
      <c r="V43" s="70"/>
      <c r="W43" s="70"/>
      <c r="X43" s="72"/>
      <c r="Y43" s="66"/>
      <c r="Z43" s="75">
        <f t="shared" si="15"/>
        <v>314.79999999999995</v>
      </c>
      <c r="AA43" s="83">
        <f>N43+P43+V43+W43+X43+Y43</f>
        <v>116.6</v>
      </c>
      <c r="AB43" s="73">
        <f>+M43</f>
        <v>116.6</v>
      </c>
      <c r="AC43" s="74" t="s">
        <v>209</v>
      </c>
      <c r="AD43" s="62">
        <f t="shared" si="4"/>
        <v>431.4</v>
      </c>
      <c r="AE43" s="73"/>
      <c r="AF43" s="75"/>
    </row>
    <row r="44" spans="1:32" s="56" customFormat="1" ht="18" customHeight="1" x14ac:dyDescent="0.25">
      <c r="A44" s="63" t="s">
        <v>210</v>
      </c>
      <c r="B44" s="132" t="s">
        <v>211</v>
      </c>
      <c r="C44" s="65"/>
      <c r="D44" s="66"/>
      <c r="E44" s="66"/>
      <c r="F44" s="66"/>
      <c r="G44" s="67"/>
      <c r="H44" s="67"/>
      <c r="I44" s="68"/>
      <c r="J44" s="68"/>
      <c r="K44" s="69"/>
      <c r="L44" s="74" t="s">
        <v>209</v>
      </c>
      <c r="M44" s="70">
        <v>165.2</v>
      </c>
      <c r="N44" s="71">
        <f t="shared" si="16"/>
        <v>165.2</v>
      </c>
      <c r="O44" s="70"/>
      <c r="P44" s="70"/>
      <c r="Q44" s="70"/>
      <c r="R44" s="70"/>
      <c r="S44" s="70"/>
      <c r="T44" s="70">
        <v>280.7</v>
      </c>
      <c r="U44" s="70">
        <f t="shared" si="9"/>
        <v>280.7</v>
      </c>
      <c r="V44" s="70"/>
      <c r="W44" s="70"/>
      <c r="X44" s="72"/>
      <c r="Y44" s="66"/>
      <c r="Z44" s="75">
        <f t="shared" si="15"/>
        <v>445.9</v>
      </c>
      <c r="AA44" s="66"/>
      <c r="AB44" s="73">
        <f>+M44</f>
        <v>165.2</v>
      </c>
      <c r="AC44" s="74" t="s">
        <v>209</v>
      </c>
      <c r="AD44" s="62">
        <f t="shared" si="4"/>
        <v>611.09999999999991</v>
      </c>
      <c r="AE44" s="73"/>
      <c r="AF44" s="75"/>
    </row>
    <row r="45" spans="1:32" s="56" customFormat="1" x14ac:dyDescent="0.25">
      <c r="A45" s="63" t="s">
        <v>212</v>
      </c>
      <c r="B45" s="132" t="s">
        <v>213</v>
      </c>
      <c r="C45" s="65">
        <v>824.9</v>
      </c>
      <c r="D45" s="66">
        <v>442.5</v>
      </c>
      <c r="E45" s="66"/>
      <c r="F45" s="66">
        <v>2.4</v>
      </c>
      <c r="G45" s="67">
        <v>706.2</v>
      </c>
      <c r="H45" s="67">
        <v>695.8</v>
      </c>
      <c r="I45" s="68"/>
      <c r="J45" s="68"/>
      <c r="K45" s="69"/>
      <c r="L45" s="74" t="s">
        <v>209</v>
      </c>
      <c r="M45" s="70">
        <f>22.1+88</f>
        <v>110.1</v>
      </c>
      <c r="N45" s="71">
        <f t="shared" si="16"/>
        <v>-334.79999999999995</v>
      </c>
      <c r="O45" s="70"/>
      <c r="P45" s="70"/>
      <c r="Q45" s="70"/>
      <c r="R45" s="70"/>
      <c r="S45" s="70"/>
      <c r="T45" s="70">
        <v>88</v>
      </c>
      <c r="U45" s="70">
        <f t="shared" si="9"/>
        <v>88</v>
      </c>
      <c r="V45" s="70"/>
      <c r="W45" s="70"/>
      <c r="X45" s="72"/>
      <c r="Y45" s="66"/>
      <c r="Z45" s="75">
        <f t="shared" si="15"/>
        <v>198.1</v>
      </c>
      <c r="AA45" s="66"/>
      <c r="AB45" s="73"/>
      <c r="AC45" s="74"/>
      <c r="AD45" s="62">
        <f t="shared" si="4"/>
        <v>198.1</v>
      </c>
      <c r="AE45" s="73"/>
      <c r="AF45" s="75"/>
    </row>
    <row r="46" spans="1:32" s="56" customFormat="1" x14ac:dyDescent="0.25">
      <c r="A46" s="63" t="s">
        <v>214</v>
      </c>
      <c r="B46" s="132" t="s">
        <v>215</v>
      </c>
      <c r="C46" s="65">
        <v>241.9</v>
      </c>
      <c r="D46" s="66">
        <v>129.5</v>
      </c>
      <c r="E46" s="66"/>
      <c r="F46" s="66">
        <v>1</v>
      </c>
      <c r="G46" s="67">
        <v>75.2</v>
      </c>
      <c r="H46" s="67">
        <v>14.8</v>
      </c>
      <c r="I46" s="68"/>
      <c r="J46" s="68"/>
      <c r="K46" s="69"/>
      <c r="L46" s="74" t="s">
        <v>209</v>
      </c>
      <c r="M46" s="70">
        <f>21.6+85.5</f>
        <v>107.1</v>
      </c>
      <c r="N46" s="71">
        <f t="shared" si="16"/>
        <v>-23.400000000000006</v>
      </c>
      <c r="O46" s="70"/>
      <c r="P46" s="70"/>
      <c r="Q46" s="70"/>
      <c r="R46" s="70"/>
      <c r="S46" s="70"/>
      <c r="T46" s="70">
        <v>85.5</v>
      </c>
      <c r="U46" s="70">
        <f t="shared" si="9"/>
        <v>85.5</v>
      </c>
      <c r="V46" s="70"/>
      <c r="W46" s="70"/>
      <c r="X46" s="72"/>
      <c r="Y46" s="66"/>
      <c r="Z46" s="75">
        <f t="shared" si="15"/>
        <v>192.6</v>
      </c>
      <c r="AA46" s="66"/>
      <c r="AB46" s="73"/>
      <c r="AC46" s="74"/>
      <c r="AD46" s="62">
        <f t="shared" si="4"/>
        <v>192.6</v>
      </c>
      <c r="AE46" s="73"/>
      <c r="AF46" s="75"/>
    </row>
    <row r="47" spans="1:32" s="56" customFormat="1" ht="18.75" customHeight="1" x14ac:dyDescent="0.25">
      <c r="A47" s="63" t="s">
        <v>216</v>
      </c>
      <c r="B47" s="132" t="s">
        <v>217</v>
      </c>
      <c r="C47" s="65"/>
      <c r="D47" s="66"/>
      <c r="E47" s="66"/>
      <c r="F47" s="66"/>
      <c r="G47" s="67"/>
      <c r="H47" s="67"/>
      <c r="I47" s="68"/>
      <c r="J47" s="68"/>
      <c r="K47" s="69"/>
      <c r="L47" s="74" t="s">
        <v>209</v>
      </c>
      <c r="M47" s="70">
        <v>30</v>
      </c>
      <c r="N47" s="71">
        <f t="shared" si="16"/>
        <v>30</v>
      </c>
      <c r="O47" s="70"/>
      <c r="P47" s="70"/>
      <c r="Q47" s="70"/>
      <c r="R47" s="70"/>
      <c r="S47" s="70"/>
      <c r="T47" s="70">
        <v>30</v>
      </c>
      <c r="U47" s="70">
        <f t="shared" si="9"/>
        <v>30</v>
      </c>
      <c r="V47" s="70"/>
      <c r="W47" s="70"/>
      <c r="X47" s="72"/>
      <c r="Y47" s="66"/>
      <c r="Z47" s="75">
        <f t="shared" si="15"/>
        <v>60</v>
      </c>
      <c r="AA47" s="66"/>
      <c r="AB47" s="73"/>
      <c r="AC47" s="74"/>
      <c r="AD47" s="62">
        <f t="shared" si="4"/>
        <v>60</v>
      </c>
      <c r="AE47" s="73"/>
      <c r="AF47" s="75"/>
    </row>
    <row r="48" spans="1:32" s="56" customFormat="1" x14ac:dyDescent="0.25">
      <c r="A48" s="84" t="s">
        <v>218</v>
      </c>
      <c r="B48" s="130" t="s">
        <v>219</v>
      </c>
      <c r="C48" s="85">
        <f t="shared" ref="C48:K48" si="17">C49+C65</f>
        <v>17850.3</v>
      </c>
      <c r="D48" s="85">
        <f t="shared" si="17"/>
        <v>7402.2000000000007</v>
      </c>
      <c r="E48" s="85">
        <f t="shared" si="17"/>
        <v>20</v>
      </c>
      <c r="F48" s="85">
        <f t="shared" si="17"/>
        <v>3321.8</v>
      </c>
      <c r="G48" s="85">
        <f t="shared" si="17"/>
        <v>21028.600000000002</v>
      </c>
      <c r="H48" s="85">
        <f t="shared" si="17"/>
        <v>15567.000000000004</v>
      </c>
      <c r="I48" s="85">
        <f t="shared" si="17"/>
        <v>0</v>
      </c>
      <c r="J48" s="85">
        <f t="shared" si="17"/>
        <v>0</v>
      </c>
      <c r="K48" s="85">
        <f t="shared" si="17"/>
        <v>0</v>
      </c>
      <c r="L48" s="86"/>
      <c r="M48" s="85">
        <f>M49+M65</f>
        <v>9928.6</v>
      </c>
      <c r="N48" s="87">
        <f t="shared" si="10"/>
        <v>2526.3999999999996</v>
      </c>
      <c r="O48" s="85">
        <f t="shared" ref="O48:T48" si="18">O49+O65</f>
        <v>50</v>
      </c>
      <c r="P48" s="85">
        <f t="shared" si="18"/>
        <v>0</v>
      </c>
      <c r="Q48" s="85">
        <f t="shared" si="18"/>
        <v>0</v>
      </c>
      <c r="R48" s="85">
        <f t="shared" si="18"/>
        <v>17.8</v>
      </c>
      <c r="S48" s="85">
        <f t="shared" si="18"/>
        <v>2500</v>
      </c>
      <c r="T48" s="85">
        <f t="shared" si="18"/>
        <v>8905.4000000000015</v>
      </c>
      <c r="U48" s="85">
        <f t="shared" si="9"/>
        <v>11423.2</v>
      </c>
      <c r="V48" s="85">
        <f>V49+V65</f>
        <v>0</v>
      </c>
      <c r="W48" s="85">
        <f>W49+W65</f>
        <v>1388.5</v>
      </c>
      <c r="X48" s="85">
        <f>X49+X65</f>
        <v>0</v>
      </c>
      <c r="Y48" s="85">
        <f>Y49+Y65</f>
        <v>0</v>
      </c>
      <c r="Z48" s="265">
        <f t="shared" si="15"/>
        <v>22790.300000000003</v>
      </c>
      <c r="AA48" s="85">
        <f>AA49+AA65</f>
        <v>0</v>
      </c>
      <c r="AB48" s="85">
        <f>AB49+AB65</f>
        <v>10127</v>
      </c>
      <c r="AC48" s="88"/>
      <c r="AD48" s="62">
        <f t="shared" si="4"/>
        <v>32917.300000000003</v>
      </c>
      <c r="AE48" s="85">
        <f>AE49+AE65</f>
        <v>0</v>
      </c>
      <c r="AF48" s="85"/>
    </row>
    <row r="49" spans="1:32" s="56" customFormat="1" x14ac:dyDescent="0.25">
      <c r="A49" s="59" t="s">
        <v>220</v>
      </c>
      <c r="B49" s="131" t="s">
        <v>221</v>
      </c>
      <c r="C49" s="60">
        <f>C50+C51+C52+C53+C54+C55+C56+C57+C58+C59++C60+C61+C62+C63+C64</f>
        <v>9655.4</v>
      </c>
      <c r="D49" s="60">
        <f t="shared" ref="D49:H49" si="19">D50+D51+D52+D53+D54+D55+D56+D57+D58+D59++D60+D61+D62+D63+D64</f>
        <v>4549.4000000000005</v>
      </c>
      <c r="E49" s="60">
        <f t="shared" si="19"/>
        <v>0</v>
      </c>
      <c r="F49" s="60">
        <f t="shared" si="19"/>
        <v>483.29999999999995</v>
      </c>
      <c r="G49" s="60">
        <f t="shared" si="19"/>
        <v>12269.600000000002</v>
      </c>
      <c r="H49" s="60">
        <f t="shared" si="19"/>
        <v>9796.6000000000022</v>
      </c>
      <c r="I49" s="60">
        <f t="shared" ref="I49:K49" si="20">I50+I51+I52+I53+I54+I55+I56+I57+I58+I59++I60+I61</f>
        <v>0</v>
      </c>
      <c r="J49" s="60">
        <f t="shared" si="20"/>
        <v>0</v>
      </c>
      <c r="K49" s="60">
        <f t="shared" si="20"/>
        <v>0</v>
      </c>
      <c r="L49" s="89"/>
      <c r="M49" s="60">
        <f>M50+M51+M52+M53+M54+M55+M56+M57+M58+M59++M60+M61+M62+M63+M64</f>
        <v>5186.2</v>
      </c>
      <c r="N49" s="61">
        <f>N50+N51+N52+N53+N54+N55+N56+N57+N58+N59++N60+N61+N62+N63+N64</f>
        <v>153.50000000000028</v>
      </c>
      <c r="O49" s="60">
        <f t="shared" ref="O49:T49" si="21">O50+O51+O52+O53+O54+O55+O56+O57+O58+O59++O60+O61+O62+O63+O64</f>
        <v>0</v>
      </c>
      <c r="P49" s="60">
        <f t="shared" si="21"/>
        <v>0</v>
      </c>
      <c r="Q49" s="60">
        <f t="shared" si="21"/>
        <v>0</v>
      </c>
      <c r="R49" s="60">
        <f t="shared" si="21"/>
        <v>0</v>
      </c>
      <c r="S49" s="60">
        <f t="shared" si="21"/>
        <v>2500</v>
      </c>
      <c r="T49" s="60">
        <f t="shared" si="21"/>
        <v>2793.3999999999996</v>
      </c>
      <c r="U49" s="60">
        <f>Q49+R49+S49+T49</f>
        <v>5293.4</v>
      </c>
      <c r="V49" s="60">
        <f>V50+V51+V52+V53+V54+V55+V56+V57+V58+V59++V60+V61+V62+V63</f>
        <v>0</v>
      </c>
      <c r="W49" s="60">
        <f>W50+W51+W52+W53+W54+W55+W56+W57+W58+W59++W60+W61+W62+W63+W64</f>
        <v>1025.5</v>
      </c>
      <c r="X49" s="60">
        <f t="shared" ref="X49:AA49" si="22">X50+X51+X52+X53+X54+X55+X56+X57+X58+X59++X60+X61</f>
        <v>0</v>
      </c>
      <c r="Y49" s="60">
        <f t="shared" si="22"/>
        <v>0</v>
      </c>
      <c r="Z49" s="266">
        <f t="shared" si="15"/>
        <v>11505.099999999999</v>
      </c>
      <c r="AA49" s="60">
        <f t="shared" si="22"/>
        <v>0</v>
      </c>
      <c r="AB49" s="60">
        <f>AB50+AB51+AB52+AB53+AB54+AB55+AB56+AB57+AB58+AB59++AB60+AB61+AB62+AB63</f>
        <v>6384.3</v>
      </c>
      <c r="AC49" s="60"/>
      <c r="AD49" s="90">
        <f t="shared" si="4"/>
        <v>17889.399999999998</v>
      </c>
      <c r="AE49" s="91">
        <f>AE50+AE51+AE52+AE53+AE54+AE55+AE56+AE57+AE58+AE59++AE60+AE61+AE62+AE63</f>
        <v>0</v>
      </c>
      <c r="AF49" s="91"/>
    </row>
    <row r="50" spans="1:32" s="56" customFormat="1" ht="21.75" customHeight="1" x14ac:dyDescent="0.25">
      <c r="A50" s="63" t="s">
        <v>222</v>
      </c>
      <c r="B50" s="132" t="s">
        <v>223</v>
      </c>
      <c r="C50" s="65"/>
      <c r="D50" s="66"/>
      <c r="E50" s="66"/>
      <c r="F50" s="66"/>
      <c r="G50" s="67">
        <v>0.1</v>
      </c>
      <c r="H50" s="67">
        <v>0</v>
      </c>
      <c r="I50" s="68"/>
      <c r="J50" s="68"/>
      <c r="K50" s="69"/>
      <c r="L50" s="64" t="s">
        <v>224</v>
      </c>
      <c r="M50" s="70">
        <v>267.60000000000002</v>
      </c>
      <c r="N50" s="71">
        <f t="shared" ref="N50:N96" si="23">M50-D50-F50</f>
        <v>267.60000000000002</v>
      </c>
      <c r="O50" s="70"/>
      <c r="P50" s="70"/>
      <c r="Q50" s="70"/>
      <c r="R50" s="70"/>
      <c r="S50" s="70"/>
      <c r="T50" s="70"/>
      <c r="U50" s="70">
        <f t="shared" si="9"/>
        <v>0</v>
      </c>
      <c r="V50" s="70"/>
      <c r="W50" s="70"/>
      <c r="X50" s="72"/>
      <c r="Y50" s="66"/>
      <c r="Z50" s="75">
        <f t="shared" si="15"/>
        <v>267.60000000000002</v>
      </c>
      <c r="AA50" s="66"/>
      <c r="AB50" s="73">
        <f>27.4-27.4</f>
        <v>0</v>
      </c>
      <c r="AC50" s="74"/>
      <c r="AD50" s="62">
        <f t="shared" si="4"/>
        <v>267.60000000000002</v>
      </c>
      <c r="AE50" s="73"/>
      <c r="AF50" s="75"/>
    </row>
    <row r="51" spans="1:32" s="56" customFormat="1" hidden="1" x14ac:dyDescent="0.25">
      <c r="A51" s="63" t="s">
        <v>225</v>
      </c>
      <c r="B51" s="132" t="s">
        <v>226</v>
      </c>
      <c r="C51" s="65"/>
      <c r="D51" s="66"/>
      <c r="E51" s="66"/>
      <c r="F51" s="66"/>
      <c r="G51" s="67"/>
      <c r="H51" s="67"/>
      <c r="I51" s="68"/>
      <c r="J51" s="68"/>
      <c r="K51" s="69"/>
      <c r="L51" s="67"/>
      <c r="M51" s="70"/>
      <c r="N51" s="71">
        <f t="shared" si="23"/>
        <v>0</v>
      </c>
      <c r="O51" s="70"/>
      <c r="P51" s="70"/>
      <c r="Q51" s="70"/>
      <c r="R51" s="70"/>
      <c r="S51" s="70"/>
      <c r="T51" s="70"/>
      <c r="U51" s="70">
        <f t="shared" si="9"/>
        <v>0</v>
      </c>
      <c r="V51" s="70"/>
      <c r="W51" s="70"/>
      <c r="X51" s="72"/>
      <c r="Y51" s="66"/>
      <c r="Z51" s="75">
        <f t="shared" si="15"/>
        <v>0</v>
      </c>
      <c r="AA51" s="66"/>
      <c r="AB51" s="73"/>
      <c r="AC51" s="74"/>
      <c r="AD51" s="62">
        <f t="shared" si="4"/>
        <v>0</v>
      </c>
      <c r="AE51" s="73"/>
      <c r="AF51" s="75"/>
    </row>
    <row r="52" spans="1:32" s="56" customFormat="1" ht="22.5" customHeight="1" x14ac:dyDescent="0.25">
      <c r="A52" s="63" t="s">
        <v>227</v>
      </c>
      <c r="B52" s="132" t="s">
        <v>228</v>
      </c>
      <c r="C52" s="65">
        <v>1089.0999999999999</v>
      </c>
      <c r="D52" s="66">
        <v>995</v>
      </c>
      <c r="E52" s="66"/>
      <c r="F52" s="66">
        <v>94.1</v>
      </c>
      <c r="G52" s="67">
        <v>1209.0999999999999</v>
      </c>
      <c r="H52" s="67">
        <v>1146.4000000000001</v>
      </c>
      <c r="I52" s="68"/>
      <c r="J52" s="68"/>
      <c r="K52" s="69"/>
      <c r="L52" s="92" t="s">
        <v>229</v>
      </c>
      <c r="M52" s="70">
        <v>800</v>
      </c>
      <c r="N52" s="71">
        <f t="shared" si="23"/>
        <v>-289.10000000000002</v>
      </c>
      <c r="O52" s="70"/>
      <c r="P52" s="70"/>
      <c r="Q52" s="70"/>
      <c r="R52" s="70"/>
      <c r="S52" s="70"/>
      <c r="T52" s="70"/>
      <c r="U52" s="70">
        <f t="shared" si="9"/>
        <v>0</v>
      </c>
      <c r="V52" s="70"/>
      <c r="W52" s="70"/>
      <c r="X52" s="72"/>
      <c r="Y52" s="66"/>
      <c r="Z52" s="75">
        <f t="shared" si="15"/>
        <v>800</v>
      </c>
      <c r="AA52" s="66"/>
      <c r="AB52" s="73">
        <v>375</v>
      </c>
      <c r="AC52" s="74" t="s">
        <v>230</v>
      </c>
      <c r="AD52" s="62">
        <f t="shared" si="4"/>
        <v>1175</v>
      </c>
      <c r="AE52" s="73"/>
      <c r="AF52" s="77"/>
    </row>
    <row r="53" spans="1:32" s="56" customFormat="1" hidden="1" x14ac:dyDescent="0.25">
      <c r="A53" s="63" t="s">
        <v>231</v>
      </c>
      <c r="B53" s="132" t="s">
        <v>232</v>
      </c>
      <c r="C53" s="65"/>
      <c r="D53" s="66"/>
      <c r="E53" s="66"/>
      <c r="F53" s="66"/>
      <c r="G53" s="67">
        <v>12.1</v>
      </c>
      <c r="H53" s="67">
        <v>12.1</v>
      </c>
      <c r="I53" s="68"/>
      <c r="J53" s="68"/>
      <c r="K53" s="69"/>
      <c r="L53" s="76"/>
      <c r="M53" s="70">
        <v>0</v>
      </c>
      <c r="N53" s="71">
        <f t="shared" si="23"/>
        <v>0</v>
      </c>
      <c r="O53" s="70"/>
      <c r="P53" s="70"/>
      <c r="Q53" s="70"/>
      <c r="R53" s="70"/>
      <c r="S53" s="70"/>
      <c r="T53" s="70"/>
      <c r="U53" s="70">
        <f t="shared" si="9"/>
        <v>0</v>
      </c>
      <c r="V53" s="70"/>
      <c r="W53" s="70"/>
      <c r="X53" s="72"/>
      <c r="Y53" s="66"/>
      <c r="Z53" s="75">
        <f t="shared" si="15"/>
        <v>0</v>
      </c>
      <c r="AA53" s="66"/>
      <c r="AB53" s="73"/>
      <c r="AC53" s="74"/>
      <c r="AD53" s="62">
        <f t="shared" si="4"/>
        <v>0</v>
      </c>
      <c r="AE53" s="73"/>
      <c r="AF53" s="75"/>
    </row>
    <row r="54" spans="1:32" s="104" customFormat="1" ht="22.5" customHeight="1" x14ac:dyDescent="0.25">
      <c r="A54" s="63" t="s">
        <v>233</v>
      </c>
      <c r="B54" s="132" t="s">
        <v>234</v>
      </c>
      <c r="C54" s="93">
        <v>5891.5</v>
      </c>
      <c r="D54" s="94">
        <v>2141.5</v>
      </c>
      <c r="E54" s="94"/>
      <c r="F54" s="94">
        <v>80</v>
      </c>
      <c r="G54" s="95">
        <v>7337.8</v>
      </c>
      <c r="H54" s="95">
        <v>6200.3</v>
      </c>
      <c r="I54" s="96"/>
      <c r="J54" s="96"/>
      <c r="K54" s="96"/>
      <c r="L54" s="97" t="s">
        <v>235</v>
      </c>
      <c r="M54" s="98">
        <f>-1000+2852.9+482.9-508.4</f>
        <v>1827.4</v>
      </c>
      <c r="N54" s="71">
        <f t="shared" si="23"/>
        <v>-394.09999999999991</v>
      </c>
      <c r="O54" s="98"/>
      <c r="P54" s="98"/>
      <c r="Q54" s="98"/>
      <c r="R54" s="98"/>
      <c r="S54" s="98">
        <v>2500</v>
      </c>
      <c r="T54" s="98"/>
      <c r="U54" s="98">
        <f t="shared" si="9"/>
        <v>2500</v>
      </c>
      <c r="V54" s="98"/>
      <c r="W54" s="98">
        <f>517.1+508.4</f>
        <v>1025.5</v>
      </c>
      <c r="X54" s="99"/>
      <c r="Y54" s="94"/>
      <c r="Z54" s="267">
        <f t="shared" si="15"/>
        <v>5352.9</v>
      </c>
      <c r="AA54" s="94"/>
      <c r="AB54" s="101">
        <v>3868.1</v>
      </c>
      <c r="AC54" s="102" t="s">
        <v>236</v>
      </c>
      <c r="AD54" s="100">
        <f t="shared" si="4"/>
        <v>9221</v>
      </c>
      <c r="AE54" s="101"/>
      <c r="AF54" s="103"/>
    </row>
    <row r="55" spans="1:32" s="56" customFormat="1" ht="22.5" customHeight="1" x14ac:dyDescent="0.25">
      <c r="A55" s="63" t="s">
        <v>237</v>
      </c>
      <c r="B55" s="132" t="s">
        <v>238</v>
      </c>
      <c r="C55" s="65">
        <v>975.6</v>
      </c>
      <c r="D55" s="66">
        <v>975.6</v>
      </c>
      <c r="E55" s="66"/>
      <c r="F55" s="66"/>
      <c r="G55" s="67">
        <v>1125.5999999999999</v>
      </c>
      <c r="H55" s="67">
        <v>865.4</v>
      </c>
      <c r="I55" s="68"/>
      <c r="J55" s="68"/>
      <c r="K55" s="69"/>
      <c r="L55" s="105" t="s">
        <v>239</v>
      </c>
      <c r="M55" s="70">
        <v>300</v>
      </c>
      <c r="N55" s="71">
        <f t="shared" si="23"/>
        <v>-675.6</v>
      </c>
      <c r="O55" s="70"/>
      <c r="P55" s="70"/>
      <c r="Q55" s="70"/>
      <c r="R55" s="70"/>
      <c r="S55" s="70"/>
      <c r="T55" s="70"/>
      <c r="U55" s="70">
        <f t="shared" si="9"/>
        <v>0</v>
      </c>
      <c r="V55" s="70"/>
      <c r="W55" s="70"/>
      <c r="X55" s="72"/>
      <c r="Y55" s="66"/>
      <c r="Z55" s="75">
        <f t="shared" si="15"/>
        <v>300</v>
      </c>
      <c r="AA55" s="66"/>
      <c r="AB55" s="73"/>
      <c r="AC55" s="74"/>
      <c r="AD55" s="62">
        <f t="shared" si="4"/>
        <v>300</v>
      </c>
      <c r="AE55" s="73"/>
      <c r="AF55" s="75"/>
    </row>
    <row r="56" spans="1:32" s="56" customFormat="1" ht="21.75" customHeight="1" x14ac:dyDescent="0.25">
      <c r="A56" s="63" t="s">
        <v>240</v>
      </c>
      <c r="B56" s="132" t="s">
        <v>241</v>
      </c>
      <c r="C56" s="65">
        <v>30</v>
      </c>
      <c r="D56" s="66">
        <v>30</v>
      </c>
      <c r="E56" s="66"/>
      <c r="F56" s="66"/>
      <c r="G56" s="67">
        <v>30</v>
      </c>
      <c r="H56" s="67">
        <v>8</v>
      </c>
      <c r="I56" s="68"/>
      <c r="J56" s="68"/>
      <c r="K56" s="69"/>
      <c r="L56" s="76"/>
      <c r="M56" s="70">
        <v>30</v>
      </c>
      <c r="N56" s="71">
        <f t="shared" si="23"/>
        <v>0</v>
      </c>
      <c r="O56" s="70"/>
      <c r="P56" s="70"/>
      <c r="Q56" s="70"/>
      <c r="R56" s="70"/>
      <c r="S56" s="70"/>
      <c r="T56" s="70"/>
      <c r="U56" s="70">
        <f t="shared" si="9"/>
        <v>0</v>
      </c>
      <c r="V56" s="70"/>
      <c r="W56" s="70"/>
      <c r="X56" s="72"/>
      <c r="Y56" s="66"/>
      <c r="Z56" s="75">
        <f t="shared" si="15"/>
        <v>30</v>
      </c>
      <c r="AA56" s="66"/>
      <c r="AB56" s="73"/>
      <c r="AC56" s="74"/>
      <c r="AD56" s="62">
        <f t="shared" si="4"/>
        <v>30</v>
      </c>
      <c r="AE56" s="73"/>
      <c r="AF56" s="75"/>
    </row>
    <row r="57" spans="1:32" s="56" customFormat="1" hidden="1" x14ac:dyDescent="0.25">
      <c r="A57" s="63" t="s">
        <v>242</v>
      </c>
      <c r="B57" s="132" t="s">
        <v>243</v>
      </c>
      <c r="C57" s="65"/>
      <c r="D57" s="66"/>
      <c r="E57" s="66"/>
      <c r="F57" s="66"/>
      <c r="G57" s="67"/>
      <c r="H57" s="67"/>
      <c r="I57" s="68"/>
      <c r="J57" s="68"/>
      <c r="K57" s="69"/>
      <c r="L57" s="76"/>
      <c r="M57" s="70"/>
      <c r="N57" s="71">
        <f t="shared" si="23"/>
        <v>0</v>
      </c>
      <c r="O57" s="70"/>
      <c r="P57" s="70"/>
      <c r="Q57" s="70"/>
      <c r="R57" s="70"/>
      <c r="S57" s="70"/>
      <c r="T57" s="70"/>
      <c r="U57" s="70">
        <f t="shared" si="9"/>
        <v>0</v>
      </c>
      <c r="V57" s="70"/>
      <c r="W57" s="70"/>
      <c r="X57" s="72"/>
      <c r="Y57" s="66"/>
      <c r="Z57" s="75">
        <f t="shared" si="15"/>
        <v>0</v>
      </c>
      <c r="AA57" s="66"/>
      <c r="AB57" s="73"/>
      <c r="AC57" s="74"/>
      <c r="AD57" s="62">
        <f t="shared" si="4"/>
        <v>0</v>
      </c>
      <c r="AE57" s="73"/>
      <c r="AF57" s="75"/>
    </row>
    <row r="58" spans="1:32" s="56" customFormat="1" ht="21.75" customHeight="1" x14ac:dyDescent="0.25">
      <c r="A58" s="63" t="s">
        <v>244</v>
      </c>
      <c r="B58" s="132" t="s">
        <v>245</v>
      </c>
      <c r="C58" s="65">
        <v>20</v>
      </c>
      <c r="D58" s="66">
        <v>20</v>
      </c>
      <c r="E58" s="66"/>
      <c r="F58" s="66"/>
      <c r="G58" s="67">
        <v>35.700000000000003</v>
      </c>
      <c r="H58" s="67">
        <v>35.700000000000003</v>
      </c>
      <c r="I58" s="68"/>
      <c r="J58" s="68"/>
      <c r="K58" s="69"/>
      <c r="L58" s="92" t="s">
        <v>246</v>
      </c>
      <c r="M58" s="70">
        <v>30</v>
      </c>
      <c r="N58" s="71">
        <f t="shared" si="23"/>
        <v>10</v>
      </c>
      <c r="O58" s="70"/>
      <c r="P58" s="70"/>
      <c r="Q58" s="70"/>
      <c r="R58" s="70"/>
      <c r="S58" s="70"/>
      <c r="T58" s="70"/>
      <c r="U58" s="70">
        <f t="shared" si="9"/>
        <v>0</v>
      </c>
      <c r="V58" s="70"/>
      <c r="W58" s="70"/>
      <c r="X58" s="72"/>
      <c r="Y58" s="66"/>
      <c r="Z58" s="75">
        <f t="shared" si="15"/>
        <v>30</v>
      </c>
      <c r="AA58" s="66"/>
      <c r="AB58" s="73">
        <v>120</v>
      </c>
      <c r="AC58" s="74" t="s">
        <v>247</v>
      </c>
      <c r="AD58" s="62">
        <f t="shared" si="4"/>
        <v>150</v>
      </c>
      <c r="AE58" s="73"/>
      <c r="AF58" s="75"/>
    </row>
    <row r="59" spans="1:32" s="56" customFormat="1" ht="20.25" customHeight="1" x14ac:dyDescent="0.25">
      <c r="A59" s="63" t="s">
        <v>248</v>
      </c>
      <c r="B59" s="132" t="s">
        <v>249</v>
      </c>
      <c r="C59" s="65">
        <v>576.79999999999995</v>
      </c>
      <c r="D59" s="66">
        <v>237.4</v>
      </c>
      <c r="E59" s="66"/>
      <c r="F59" s="66">
        <v>49.9</v>
      </c>
      <c r="G59" s="67">
        <v>287.3</v>
      </c>
      <c r="H59" s="67">
        <v>243.2</v>
      </c>
      <c r="I59" s="68"/>
      <c r="J59" s="68"/>
      <c r="K59" s="69"/>
      <c r="L59" s="74" t="s">
        <v>209</v>
      </c>
      <c r="M59" s="70">
        <f>(252.1+302.3)/2</f>
        <v>277.2</v>
      </c>
      <c r="N59" s="71">
        <f t="shared" si="23"/>
        <v>-10.100000000000016</v>
      </c>
      <c r="O59" s="70"/>
      <c r="P59" s="70"/>
      <c r="Q59" s="70"/>
      <c r="R59" s="70"/>
      <c r="S59" s="70"/>
      <c r="T59" s="70">
        <v>520.70000000000005</v>
      </c>
      <c r="U59" s="70">
        <f t="shared" si="9"/>
        <v>520.70000000000005</v>
      </c>
      <c r="V59" s="70"/>
      <c r="W59" s="70"/>
      <c r="X59" s="72"/>
      <c r="Y59" s="66"/>
      <c r="Z59" s="75">
        <f t="shared" si="15"/>
        <v>797.90000000000009</v>
      </c>
      <c r="AA59" s="66"/>
      <c r="AB59" s="73">
        <f>+M59</f>
        <v>277.2</v>
      </c>
      <c r="AC59" s="74" t="s">
        <v>209</v>
      </c>
      <c r="AD59" s="62">
        <f t="shared" si="4"/>
        <v>1075.1000000000001</v>
      </c>
      <c r="AE59" s="73"/>
      <c r="AF59" s="75"/>
    </row>
    <row r="60" spans="1:32" s="56" customFormat="1" ht="21.75" customHeight="1" x14ac:dyDescent="0.25">
      <c r="A60" s="63" t="s">
        <v>250</v>
      </c>
      <c r="B60" s="132" t="s">
        <v>251</v>
      </c>
      <c r="C60" s="65">
        <v>267.89999999999998</v>
      </c>
      <c r="D60" s="66">
        <v>20</v>
      </c>
      <c r="E60" s="66"/>
      <c r="F60" s="66">
        <v>247.9</v>
      </c>
      <c r="G60" s="67">
        <v>293</v>
      </c>
      <c r="H60" s="67">
        <v>224.7</v>
      </c>
      <c r="I60" s="68"/>
      <c r="J60" s="68"/>
      <c r="K60" s="69"/>
      <c r="L60" s="74" t="s">
        <v>209</v>
      </c>
      <c r="M60" s="70">
        <f>(164.7+715.3)/2</f>
        <v>440</v>
      </c>
      <c r="N60" s="71">
        <f t="shared" si="23"/>
        <v>172.1</v>
      </c>
      <c r="O60" s="70"/>
      <c r="P60" s="70"/>
      <c r="Q60" s="70"/>
      <c r="R60" s="70"/>
      <c r="S60" s="70"/>
      <c r="T60" s="70">
        <v>466.6</v>
      </c>
      <c r="U60" s="70">
        <f t="shared" si="9"/>
        <v>466.6</v>
      </c>
      <c r="V60" s="70"/>
      <c r="W60" s="70"/>
      <c r="X60" s="72"/>
      <c r="Y60" s="66"/>
      <c r="Z60" s="75">
        <f t="shared" si="15"/>
        <v>906.6</v>
      </c>
      <c r="AA60" s="66"/>
      <c r="AB60" s="73">
        <f>+M60</f>
        <v>440</v>
      </c>
      <c r="AC60" s="74" t="s">
        <v>209</v>
      </c>
      <c r="AD60" s="62">
        <f t="shared" si="4"/>
        <v>1346.6</v>
      </c>
      <c r="AE60" s="73"/>
      <c r="AF60" s="75"/>
    </row>
    <row r="61" spans="1:32" s="56" customFormat="1" ht="19.5" customHeight="1" x14ac:dyDescent="0.25">
      <c r="A61" s="63" t="s">
        <v>252</v>
      </c>
      <c r="B61" s="133" t="s">
        <v>253</v>
      </c>
      <c r="C61" s="65">
        <v>20</v>
      </c>
      <c r="D61" s="66">
        <v>20</v>
      </c>
      <c r="E61" s="66"/>
      <c r="F61" s="66"/>
      <c r="G61" s="67">
        <v>86.2</v>
      </c>
      <c r="H61" s="67">
        <v>85.3</v>
      </c>
      <c r="I61" s="68"/>
      <c r="J61" s="68"/>
      <c r="K61" s="69"/>
      <c r="L61" s="74" t="s">
        <v>209</v>
      </c>
      <c r="M61" s="70">
        <f>845.1-150</f>
        <v>695.1</v>
      </c>
      <c r="N61" s="71">
        <f t="shared" si="23"/>
        <v>675.1</v>
      </c>
      <c r="O61" s="70"/>
      <c r="P61" s="70"/>
      <c r="Q61" s="70"/>
      <c r="R61" s="70"/>
      <c r="S61" s="70"/>
      <c r="T61" s="70">
        <v>624.70000000000005</v>
      </c>
      <c r="U61" s="70">
        <f>Q61+R61+S61+T61</f>
        <v>624.70000000000005</v>
      </c>
      <c r="V61" s="70"/>
      <c r="W61" s="70"/>
      <c r="X61" s="72"/>
      <c r="Y61" s="66"/>
      <c r="Z61" s="75">
        <f t="shared" si="15"/>
        <v>1319.8000000000002</v>
      </c>
      <c r="AA61" s="66"/>
      <c r="AB61" s="73">
        <f>+M61+150</f>
        <v>845.1</v>
      </c>
      <c r="AC61" s="74" t="s">
        <v>209</v>
      </c>
      <c r="AD61" s="62">
        <f t="shared" si="4"/>
        <v>2164.9</v>
      </c>
      <c r="AE61" s="73"/>
      <c r="AF61" s="75"/>
    </row>
    <row r="62" spans="1:32" s="56" customFormat="1" ht="17.25" customHeight="1" x14ac:dyDescent="0.25">
      <c r="A62" s="63" t="s">
        <v>254</v>
      </c>
      <c r="B62" s="133" t="s">
        <v>255</v>
      </c>
      <c r="C62" s="65">
        <v>184</v>
      </c>
      <c r="D62" s="66">
        <v>105.6</v>
      </c>
      <c r="E62" s="66"/>
      <c r="F62" s="66">
        <v>2.5</v>
      </c>
      <c r="G62" s="67">
        <v>1416.3</v>
      </c>
      <c r="H62" s="67">
        <v>545.29999999999995</v>
      </c>
      <c r="I62" s="68"/>
      <c r="J62" s="68"/>
      <c r="K62" s="69"/>
      <c r="L62" s="74" t="s">
        <v>209</v>
      </c>
      <c r="M62" s="70">
        <v>324.39999999999998</v>
      </c>
      <c r="N62" s="71">
        <f t="shared" si="23"/>
        <v>216.29999999999998</v>
      </c>
      <c r="O62" s="70"/>
      <c r="P62" s="70"/>
      <c r="Q62" s="70"/>
      <c r="R62" s="70"/>
      <c r="S62" s="70"/>
      <c r="T62" s="70">
        <v>974.2</v>
      </c>
      <c r="U62" s="70">
        <f>Q62+R62+S62+T62</f>
        <v>974.2</v>
      </c>
      <c r="V62" s="70"/>
      <c r="W62" s="70"/>
      <c r="X62" s="72"/>
      <c r="Y62" s="66"/>
      <c r="Z62" s="75">
        <f t="shared" ref="Z62:Z96" si="24">M62+O62+U62+V62+W62+X62</f>
        <v>1298.5999999999999</v>
      </c>
      <c r="AA62" s="66"/>
      <c r="AB62" s="73">
        <f>+M62</f>
        <v>324.39999999999998</v>
      </c>
      <c r="AC62" s="74" t="s">
        <v>209</v>
      </c>
      <c r="AD62" s="62">
        <f t="shared" si="4"/>
        <v>1623</v>
      </c>
      <c r="AE62" s="73"/>
      <c r="AF62" s="75"/>
    </row>
    <row r="63" spans="1:32" s="56" customFormat="1" ht="19.5" customHeight="1" x14ac:dyDescent="0.25">
      <c r="A63" s="63" t="s">
        <v>256</v>
      </c>
      <c r="B63" s="133" t="s">
        <v>257</v>
      </c>
      <c r="C63" s="65">
        <v>591.79999999999995</v>
      </c>
      <c r="D63" s="66">
        <v>4.3</v>
      </c>
      <c r="E63" s="66"/>
      <c r="F63" s="66">
        <v>0.2</v>
      </c>
      <c r="G63" s="67">
        <v>427.7</v>
      </c>
      <c r="H63" s="67">
        <v>427.2</v>
      </c>
      <c r="I63" s="68"/>
      <c r="J63" s="68"/>
      <c r="K63" s="69"/>
      <c r="L63" s="74" t="s">
        <v>209</v>
      </c>
      <c r="M63" s="70">
        <f>(139+130)/2</f>
        <v>134.5</v>
      </c>
      <c r="N63" s="71">
        <f t="shared" si="23"/>
        <v>130</v>
      </c>
      <c r="O63" s="70"/>
      <c r="P63" s="70"/>
      <c r="Q63" s="70"/>
      <c r="R63" s="70"/>
      <c r="S63" s="70"/>
      <c r="T63" s="70">
        <v>207.2</v>
      </c>
      <c r="U63" s="70">
        <f>Q63+R63+S63+T63</f>
        <v>207.2</v>
      </c>
      <c r="V63" s="70"/>
      <c r="W63" s="70"/>
      <c r="X63" s="72"/>
      <c r="Y63" s="66"/>
      <c r="Z63" s="75">
        <f t="shared" si="24"/>
        <v>341.7</v>
      </c>
      <c r="AA63" s="66"/>
      <c r="AB63" s="73">
        <f>+M63</f>
        <v>134.5</v>
      </c>
      <c r="AC63" s="74" t="s">
        <v>209</v>
      </c>
      <c r="AD63" s="62">
        <f t="shared" si="4"/>
        <v>476.2</v>
      </c>
      <c r="AE63" s="73"/>
      <c r="AF63" s="75"/>
    </row>
    <row r="64" spans="1:32" s="56" customFormat="1" x14ac:dyDescent="0.25">
      <c r="A64" s="63" t="s">
        <v>258</v>
      </c>
      <c r="B64" s="133" t="s">
        <v>259</v>
      </c>
      <c r="C64" s="65">
        <v>8.6999999999999993</v>
      </c>
      <c r="D64" s="66"/>
      <c r="E64" s="66"/>
      <c r="F64" s="66">
        <v>8.6999999999999993</v>
      </c>
      <c r="G64" s="67">
        <v>8.6999999999999993</v>
      </c>
      <c r="H64" s="67">
        <v>3</v>
      </c>
      <c r="I64" s="68"/>
      <c r="J64" s="68"/>
      <c r="K64" s="69"/>
      <c r="L64" s="74" t="s">
        <v>209</v>
      </c>
      <c r="M64" s="70">
        <v>60</v>
      </c>
      <c r="N64" s="71">
        <f t="shared" si="23"/>
        <v>51.3</v>
      </c>
      <c r="O64" s="70"/>
      <c r="P64" s="70"/>
      <c r="Q64" s="70"/>
      <c r="R64" s="70"/>
      <c r="S64" s="70"/>
      <c r="T64" s="70"/>
      <c r="U64" s="70">
        <f>Q64+R64+S64+T64</f>
        <v>0</v>
      </c>
      <c r="V64" s="70"/>
      <c r="W64" s="70"/>
      <c r="X64" s="72"/>
      <c r="Y64" s="66"/>
      <c r="Z64" s="75">
        <f t="shared" si="24"/>
        <v>60</v>
      </c>
      <c r="AA64" s="66"/>
      <c r="AB64" s="73"/>
      <c r="AC64" s="74"/>
      <c r="AD64" s="62">
        <f t="shared" si="4"/>
        <v>60</v>
      </c>
      <c r="AE64" s="73"/>
      <c r="AF64" s="75"/>
    </row>
    <row r="65" spans="1:32" s="56" customFormat="1" x14ac:dyDescent="0.25">
      <c r="A65" s="59" t="s">
        <v>260</v>
      </c>
      <c r="B65" s="131" t="s">
        <v>261</v>
      </c>
      <c r="C65" s="60">
        <f>C66+C67+C68+C69+C70+C71+C72+C73+C74+C75+C76+C77+C78+C79+C80+C81+C82+C83+C84+C85+C86+C87+C88+C89+C90+C91+C92</f>
        <v>8194.9</v>
      </c>
      <c r="D65" s="60">
        <f t="shared" ref="D65:H65" si="25">D66+D67+D68+D69+D70+D71+D72+D73+D74+D75+D76+D77+D78+D79+D80+D81+D82+D83+D84+D85+D86+D87+D88+D89+D90+D91+D92</f>
        <v>2852.7999999999997</v>
      </c>
      <c r="E65" s="60">
        <f t="shared" si="25"/>
        <v>20</v>
      </c>
      <c r="F65" s="60">
        <f t="shared" si="25"/>
        <v>2838.5000000000005</v>
      </c>
      <c r="G65" s="60">
        <f t="shared" si="25"/>
        <v>8759</v>
      </c>
      <c r="H65" s="60">
        <f t="shared" si="25"/>
        <v>5770.4000000000015</v>
      </c>
      <c r="I65" s="60">
        <f t="shared" ref="I65:K65" si="26">I66+I67+I68+I69+I70+I71+I72+I73+I74+I75+I76+I77+I78+I79+I80+I81+I82+I83+I84+I85+I86+I87+I88</f>
        <v>0</v>
      </c>
      <c r="J65" s="60">
        <f t="shared" si="26"/>
        <v>0</v>
      </c>
      <c r="K65" s="60">
        <f t="shared" si="26"/>
        <v>0</v>
      </c>
      <c r="L65" s="89"/>
      <c r="M65" s="60">
        <f>M66+M67+M68+M69+M70+M71+M72+M73+M74+M75+M76+M77+M78+M79+M80+M81+M82+M83+M84+M85+M86+M87+M88+M89+M90+M91+M92+M93+M94+M95+M96</f>
        <v>4742.4000000000005</v>
      </c>
      <c r="N65" s="61">
        <f t="shared" ref="N65:W65" si="27">N66+N67+N68+N69+N70+N71+N72+N73+N74+N75+N76+N77+N78+N79+N80+N81+N82+N83+N84+N85+N86+N87+N88+N89+N90+N91+N92+N93+N94+N95+N96</f>
        <v>-948.90000000000032</v>
      </c>
      <c r="O65" s="60">
        <f t="shared" si="27"/>
        <v>50</v>
      </c>
      <c r="P65" s="60">
        <f t="shared" si="27"/>
        <v>0</v>
      </c>
      <c r="Q65" s="60">
        <f t="shared" si="27"/>
        <v>0</v>
      </c>
      <c r="R65" s="60">
        <f t="shared" si="27"/>
        <v>17.8</v>
      </c>
      <c r="S65" s="60">
        <f t="shared" si="27"/>
        <v>0</v>
      </c>
      <c r="T65" s="60">
        <f t="shared" si="27"/>
        <v>6112.0000000000009</v>
      </c>
      <c r="U65" s="60">
        <f>Q65+R65+S65+T65</f>
        <v>6129.8000000000011</v>
      </c>
      <c r="V65" s="60">
        <f t="shared" si="27"/>
        <v>0</v>
      </c>
      <c r="W65" s="60">
        <f t="shared" si="27"/>
        <v>363</v>
      </c>
      <c r="X65" s="60">
        <f t="shared" ref="X65:AA65" si="28">X66+X67+X68+X69+X70+X71+X72+X73+X74+X75+X76+X77+X78+X79+X80+X81+X82+X83+X84+X85+X86+X87+X88</f>
        <v>0</v>
      </c>
      <c r="Y65" s="60">
        <f t="shared" si="28"/>
        <v>0</v>
      </c>
      <c r="Z65" s="266">
        <f t="shared" si="24"/>
        <v>11285.2</v>
      </c>
      <c r="AA65" s="60">
        <f t="shared" si="28"/>
        <v>0</v>
      </c>
      <c r="AB65" s="60">
        <f t="shared" ref="AB65" si="29">AB66+AB67+AB68+AB69+AB70+AB71+AB72+AB73+AB74+AB75+AB76+AB77+AB78+AB79+AB80+AB81+AB82+AB83+AB84+AB85+AB86+AB87+AB88+AB89+AB90+AB91+AB92+AB93+AB94+AB95+AB96</f>
        <v>3742.7000000000003</v>
      </c>
      <c r="AC65" s="60"/>
      <c r="AD65" s="62">
        <f t="shared" si="4"/>
        <v>15027.900000000001</v>
      </c>
      <c r="AE65" s="60">
        <f t="shared" ref="AE65:AF65" si="30">AE66+AE67+AE68+AE69+AE70+AE71+AE72+AE73+AE74+AE75+AE76+AE77+AE78+AE79+AE80+AE81+AE82+AE83+AE84+AE85+AE86+AE87+AE88+AE89+AE90+AE91+AE92+AE93+AE94+AE95+AE96</f>
        <v>0</v>
      </c>
      <c r="AF65" s="60">
        <f t="shared" si="30"/>
        <v>0</v>
      </c>
    </row>
    <row r="66" spans="1:32" s="56" customFormat="1" x14ac:dyDescent="0.25">
      <c r="A66" s="63" t="s">
        <v>262</v>
      </c>
      <c r="B66" s="132" t="s">
        <v>263</v>
      </c>
      <c r="C66" s="65">
        <v>1552.5</v>
      </c>
      <c r="D66" s="66">
        <v>27</v>
      </c>
      <c r="E66" s="66"/>
      <c r="F66" s="66">
        <v>1507.7</v>
      </c>
      <c r="G66" s="67">
        <v>1395</v>
      </c>
      <c r="H66" s="67">
        <v>898.1</v>
      </c>
      <c r="I66" s="68"/>
      <c r="J66" s="68"/>
      <c r="K66" s="69"/>
      <c r="L66" s="67"/>
      <c r="M66" s="70">
        <v>0</v>
      </c>
      <c r="N66" s="71">
        <f t="shared" si="23"/>
        <v>-1534.7</v>
      </c>
      <c r="O66" s="70"/>
      <c r="P66" s="70"/>
      <c r="Q66" s="70"/>
      <c r="R66" s="106">
        <v>17.8</v>
      </c>
      <c r="S66" s="70"/>
      <c r="T66" s="70"/>
      <c r="U66" s="70">
        <f t="shared" si="9"/>
        <v>17.8</v>
      </c>
      <c r="V66" s="70"/>
      <c r="W66" s="70">
        <f>811.4-508.4</f>
        <v>303</v>
      </c>
      <c r="X66" s="72"/>
      <c r="Y66" s="66"/>
      <c r="Z66" s="268">
        <f t="shared" si="24"/>
        <v>320.8</v>
      </c>
      <c r="AA66" s="66"/>
      <c r="AB66" s="73"/>
      <c r="AC66" s="74"/>
      <c r="AD66" s="62">
        <f t="shared" si="4"/>
        <v>320.8</v>
      </c>
      <c r="AE66" s="107"/>
      <c r="AF66" s="77"/>
    </row>
    <row r="67" spans="1:32" s="56" customFormat="1" x14ac:dyDescent="0.25">
      <c r="A67" s="63" t="s">
        <v>264</v>
      </c>
      <c r="B67" s="132" t="s">
        <v>265</v>
      </c>
      <c r="C67" s="65">
        <v>120</v>
      </c>
      <c r="D67" s="66">
        <v>90</v>
      </c>
      <c r="E67" s="66"/>
      <c r="F67" s="66">
        <v>30</v>
      </c>
      <c r="G67" s="67">
        <v>120</v>
      </c>
      <c r="H67" s="67">
        <v>48.1</v>
      </c>
      <c r="I67" s="68"/>
      <c r="J67" s="68"/>
      <c r="K67" s="69"/>
      <c r="L67" s="67"/>
      <c r="M67" s="70">
        <v>90</v>
      </c>
      <c r="N67" s="71">
        <f t="shared" si="23"/>
        <v>-30</v>
      </c>
      <c r="O67" s="70"/>
      <c r="P67" s="70"/>
      <c r="Q67" s="70"/>
      <c r="R67" s="70"/>
      <c r="S67" s="70"/>
      <c r="T67" s="70"/>
      <c r="U67" s="70">
        <f t="shared" si="9"/>
        <v>0</v>
      </c>
      <c r="V67" s="70"/>
      <c r="W67" s="70">
        <v>60</v>
      </c>
      <c r="X67" s="72"/>
      <c r="Y67" s="66"/>
      <c r="Z67" s="268">
        <f t="shared" si="24"/>
        <v>150</v>
      </c>
      <c r="AA67" s="66"/>
      <c r="AB67" s="73"/>
      <c r="AC67" s="74"/>
      <c r="AD67" s="62">
        <f t="shared" si="4"/>
        <v>150</v>
      </c>
      <c r="AE67" s="73"/>
      <c r="AF67" s="75"/>
    </row>
    <row r="68" spans="1:32" s="56" customFormat="1" hidden="1" x14ac:dyDescent="0.25">
      <c r="A68" s="63" t="s">
        <v>266</v>
      </c>
      <c r="B68" s="132" t="s">
        <v>267</v>
      </c>
      <c r="C68" s="66"/>
      <c r="D68" s="66"/>
      <c r="E68" s="66"/>
      <c r="F68" s="66"/>
      <c r="G68" s="67"/>
      <c r="H68" s="68"/>
      <c r="I68" s="68"/>
      <c r="J68" s="68"/>
      <c r="K68" s="69"/>
      <c r="L68" s="67"/>
      <c r="M68" s="70"/>
      <c r="N68" s="71">
        <f t="shared" si="23"/>
        <v>0</v>
      </c>
      <c r="O68" s="70"/>
      <c r="P68" s="70"/>
      <c r="Q68" s="70"/>
      <c r="R68" s="70"/>
      <c r="S68" s="70"/>
      <c r="T68" s="70"/>
      <c r="U68" s="70">
        <f t="shared" si="9"/>
        <v>0</v>
      </c>
      <c r="V68" s="70"/>
      <c r="W68" s="70"/>
      <c r="X68" s="72"/>
      <c r="Y68" s="66"/>
      <c r="Z68" s="268">
        <f t="shared" si="24"/>
        <v>0</v>
      </c>
      <c r="AA68" s="66"/>
      <c r="AB68" s="73"/>
      <c r="AC68" s="74"/>
      <c r="AD68" s="62">
        <f t="shared" si="4"/>
        <v>0</v>
      </c>
      <c r="AE68" s="73"/>
      <c r="AF68" s="75"/>
    </row>
    <row r="69" spans="1:32" s="56" customFormat="1" ht="22.5" customHeight="1" x14ac:dyDescent="0.25">
      <c r="A69" s="63" t="s">
        <v>268</v>
      </c>
      <c r="B69" s="132" t="s">
        <v>269</v>
      </c>
      <c r="C69" s="65">
        <v>481.6</v>
      </c>
      <c r="D69" s="66">
        <v>180</v>
      </c>
      <c r="E69" s="66"/>
      <c r="F69" s="66">
        <v>301.60000000000002</v>
      </c>
      <c r="G69" s="67">
        <v>425.6</v>
      </c>
      <c r="H69" s="67">
        <v>199.4</v>
      </c>
      <c r="I69" s="68"/>
      <c r="J69" s="68"/>
      <c r="K69" s="69"/>
      <c r="L69" s="105" t="s">
        <v>270</v>
      </c>
      <c r="M69" s="70">
        <v>64.2</v>
      </c>
      <c r="N69" s="71">
        <f t="shared" si="23"/>
        <v>-417.40000000000003</v>
      </c>
      <c r="O69" s="70"/>
      <c r="P69" s="70"/>
      <c r="Q69" s="70"/>
      <c r="R69" s="70"/>
      <c r="S69" s="70"/>
      <c r="T69" s="70"/>
      <c r="U69" s="70">
        <f t="shared" si="9"/>
        <v>0</v>
      </c>
      <c r="V69" s="70"/>
      <c r="W69" s="70"/>
      <c r="X69" s="72"/>
      <c r="Y69" s="66"/>
      <c r="Z69" s="268">
        <f t="shared" si="24"/>
        <v>64.2</v>
      </c>
      <c r="AA69" s="66"/>
      <c r="AB69" s="73">
        <v>356.3</v>
      </c>
      <c r="AC69" s="108" t="s">
        <v>271</v>
      </c>
      <c r="AD69" s="62">
        <f t="shared" si="4"/>
        <v>420.5</v>
      </c>
      <c r="AE69" s="73"/>
      <c r="AF69" s="75"/>
    </row>
    <row r="70" spans="1:32" s="56" customFormat="1" ht="31.5" hidden="1" x14ac:dyDescent="0.25">
      <c r="A70" s="63" t="s">
        <v>272</v>
      </c>
      <c r="B70" s="132" t="s">
        <v>273</v>
      </c>
      <c r="C70" s="65"/>
      <c r="D70" s="66"/>
      <c r="E70" s="66"/>
      <c r="F70" s="66"/>
      <c r="G70" s="67"/>
      <c r="H70" s="67"/>
      <c r="I70" s="68"/>
      <c r="J70" s="68"/>
      <c r="K70" s="69"/>
      <c r="L70" s="76"/>
      <c r="M70" s="70"/>
      <c r="N70" s="71">
        <f t="shared" si="23"/>
        <v>0</v>
      </c>
      <c r="O70" s="70"/>
      <c r="P70" s="70"/>
      <c r="Q70" s="70"/>
      <c r="R70" s="70"/>
      <c r="S70" s="70"/>
      <c r="T70" s="70"/>
      <c r="U70" s="70">
        <f t="shared" si="9"/>
        <v>0</v>
      </c>
      <c r="V70" s="70"/>
      <c r="W70" s="70"/>
      <c r="X70" s="72"/>
      <c r="Y70" s="66"/>
      <c r="Z70" s="268">
        <f t="shared" si="24"/>
        <v>0</v>
      </c>
      <c r="AA70" s="66"/>
      <c r="AB70" s="73"/>
      <c r="AC70" s="79"/>
      <c r="AD70" s="62">
        <f t="shared" si="4"/>
        <v>0</v>
      </c>
      <c r="AE70" s="72"/>
      <c r="AF70" s="72"/>
    </row>
    <row r="71" spans="1:32" s="56" customFormat="1" hidden="1" x14ac:dyDescent="0.25">
      <c r="A71" s="63" t="s">
        <v>274</v>
      </c>
      <c r="B71" s="132" t="s">
        <v>275</v>
      </c>
      <c r="C71" s="65"/>
      <c r="D71" s="66"/>
      <c r="E71" s="66"/>
      <c r="F71" s="66"/>
      <c r="G71" s="67"/>
      <c r="H71" s="67"/>
      <c r="I71" s="68"/>
      <c r="J71" s="68"/>
      <c r="K71" s="69"/>
      <c r="L71" s="76"/>
      <c r="M71" s="70"/>
      <c r="N71" s="71">
        <f t="shared" si="23"/>
        <v>0</v>
      </c>
      <c r="O71" s="70"/>
      <c r="P71" s="70"/>
      <c r="Q71" s="70"/>
      <c r="R71" s="70"/>
      <c r="S71" s="70"/>
      <c r="T71" s="70"/>
      <c r="U71" s="70">
        <f t="shared" si="9"/>
        <v>0</v>
      </c>
      <c r="V71" s="70"/>
      <c r="W71" s="70"/>
      <c r="X71" s="72"/>
      <c r="Y71" s="66"/>
      <c r="Z71" s="268">
        <f t="shared" si="24"/>
        <v>0</v>
      </c>
      <c r="AA71" s="66"/>
      <c r="AB71" s="73"/>
      <c r="AC71" s="79"/>
      <c r="AD71" s="62">
        <f t="shared" si="4"/>
        <v>0</v>
      </c>
      <c r="AE71" s="72"/>
      <c r="AF71" s="72"/>
    </row>
    <row r="72" spans="1:32" s="56" customFormat="1" hidden="1" x14ac:dyDescent="0.25">
      <c r="A72" s="63" t="s">
        <v>276</v>
      </c>
      <c r="B72" s="132" t="s">
        <v>277</v>
      </c>
      <c r="C72" s="65"/>
      <c r="D72" s="66"/>
      <c r="E72" s="66"/>
      <c r="F72" s="66"/>
      <c r="G72" s="67"/>
      <c r="H72" s="67"/>
      <c r="I72" s="68"/>
      <c r="J72" s="68"/>
      <c r="K72" s="69"/>
      <c r="L72" s="76"/>
      <c r="M72" s="70"/>
      <c r="N72" s="71">
        <f t="shared" si="23"/>
        <v>0</v>
      </c>
      <c r="O72" s="70"/>
      <c r="P72" s="70"/>
      <c r="Q72" s="70"/>
      <c r="R72" s="70"/>
      <c r="S72" s="70"/>
      <c r="T72" s="70"/>
      <c r="U72" s="70">
        <f t="shared" si="9"/>
        <v>0</v>
      </c>
      <c r="V72" s="70"/>
      <c r="W72" s="70"/>
      <c r="X72" s="72"/>
      <c r="Y72" s="66"/>
      <c r="Z72" s="268">
        <f t="shared" si="24"/>
        <v>0</v>
      </c>
      <c r="AA72" s="66"/>
      <c r="AB72" s="73"/>
      <c r="AC72" s="79"/>
      <c r="AD72" s="62">
        <f t="shared" si="4"/>
        <v>0</v>
      </c>
      <c r="AE72" s="72"/>
      <c r="AF72" s="72"/>
    </row>
    <row r="73" spans="1:32" s="56" customFormat="1" hidden="1" x14ac:dyDescent="0.25">
      <c r="A73" s="63" t="s">
        <v>278</v>
      </c>
      <c r="B73" s="132" t="s">
        <v>279</v>
      </c>
      <c r="C73" s="65"/>
      <c r="D73" s="66"/>
      <c r="E73" s="66"/>
      <c r="F73" s="66"/>
      <c r="G73" s="67"/>
      <c r="H73" s="67"/>
      <c r="I73" s="68"/>
      <c r="J73" s="68"/>
      <c r="K73" s="69"/>
      <c r="L73" s="76"/>
      <c r="M73" s="70"/>
      <c r="N73" s="71">
        <f t="shared" si="23"/>
        <v>0</v>
      </c>
      <c r="O73" s="70"/>
      <c r="P73" s="70"/>
      <c r="Q73" s="70"/>
      <c r="R73" s="70"/>
      <c r="S73" s="70"/>
      <c r="T73" s="70"/>
      <c r="U73" s="70">
        <f t="shared" si="9"/>
        <v>0</v>
      </c>
      <c r="V73" s="70"/>
      <c r="W73" s="70"/>
      <c r="X73" s="72"/>
      <c r="Y73" s="66"/>
      <c r="Z73" s="268">
        <f t="shared" si="24"/>
        <v>0</v>
      </c>
      <c r="AA73" s="66"/>
      <c r="AB73" s="73"/>
      <c r="AC73" s="74"/>
      <c r="AD73" s="62">
        <f t="shared" si="4"/>
        <v>0</v>
      </c>
      <c r="AE73" s="73"/>
      <c r="AF73" s="75"/>
    </row>
    <row r="74" spans="1:32" s="56" customFormat="1" ht="21.75" customHeight="1" x14ac:dyDescent="0.25">
      <c r="A74" s="63" t="s">
        <v>280</v>
      </c>
      <c r="B74" s="132" t="s">
        <v>281</v>
      </c>
      <c r="C74" s="65">
        <v>716.5</v>
      </c>
      <c r="D74" s="66"/>
      <c r="E74" s="66"/>
      <c r="F74" s="66">
        <v>716.5</v>
      </c>
      <c r="G74" s="67">
        <v>716.5</v>
      </c>
      <c r="H74" s="67">
        <v>659.6</v>
      </c>
      <c r="I74" s="68"/>
      <c r="J74" s="68"/>
      <c r="K74" s="69"/>
      <c r="L74" s="76" t="s">
        <v>282</v>
      </c>
      <c r="M74" s="70">
        <v>307.39999999999998</v>
      </c>
      <c r="N74" s="71">
        <f t="shared" si="23"/>
        <v>-409.1</v>
      </c>
      <c r="O74" s="70"/>
      <c r="P74" s="70"/>
      <c r="Q74" s="70"/>
      <c r="R74" s="70"/>
      <c r="S74" s="70"/>
      <c r="T74" s="70"/>
      <c r="U74" s="70">
        <f t="shared" si="9"/>
        <v>0</v>
      </c>
      <c r="V74" s="70"/>
      <c r="W74" s="70"/>
      <c r="X74" s="72"/>
      <c r="Y74" s="66"/>
      <c r="Z74" s="268">
        <f t="shared" si="24"/>
        <v>307.39999999999998</v>
      </c>
      <c r="AA74" s="66"/>
      <c r="AB74" s="73">
        <v>20</v>
      </c>
      <c r="AC74" s="108" t="s">
        <v>283</v>
      </c>
      <c r="AD74" s="62">
        <f t="shared" si="4"/>
        <v>327.39999999999998</v>
      </c>
      <c r="AE74" s="73"/>
      <c r="AF74" s="75"/>
    </row>
    <row r="75" spans="1:32" s="56" customFormat="1" hidden="1" x14ac:dyDescent="0.25">
      <c r="A75" s="63" t="s">
        <v>284</v>
      </c>
      <c r="B75" s="132" t="s">
        <v>285</v>
      </c>
      <c r="C75" s="65">
        <v>38.799999999999997</v>
      </c>
      <c r="D75" s="66"/>
      <c r="E75" s="66"/>
      <c r="F75" s="66">
        <v>38.799999999999997</v>
      </c>
      <c r="G75" s="67">
        <v>38.799999999999997</v>
      </c>
      <c r="H75" s="67">
        <v>38.700000000000003</v>
      </c>
      <c r="I75" s="68"/>
      <c r="J75" s="68"/>
      <c r="K75" s="69"/>
      <c r="L75" s="76"/>
      <c r="M75" s="70">
        <v>0</v>
      </c>
      <c r="N75" s="71">
        <f t="shared" si="23"/>
        <v>-38.799999999999997</v>
      </c>
      <c r="O75" s="70"/>
      <c r="P75" s="70"/>
      <c r="Q75" s="70"/>
      <c r="R75" s="70"/>
      <c r="S75" s="70"/>
      <c r="T75" s="70"/>
      <c r="U75" s="70">
        <f t="shared" si="9"/>
        <v>0</v>
      </c>
      <c r="V75" s="70"/>
      <c r="W75" s="70"/>
      <c r="X75" s="72"/>
      <c r="Y75" s="66"/>
      <c r="Z75" s="268">
        <f t="shared" si="24"/>
        <v>0</v>
      </c>
      <c r="AA75" s="66"/>
      <c r="AB75" s="73"/>
      <c r="AC75" s="74"/>
      <c r="AD75" s="62">
        <f t="shared" si="4"/>
        <v>0</v>
      </c>
      <c r="AE75" s="73"/>
      <c r="AF75" s="75"/>
    </row>
    <row r="76" spans="1:32" s="56" customFormat="1" ht="19.5" customHeight="1" x14ac:dyDescent="0.25">
      <c r="A76" s="63" t="s">
        <v>286</v>
      </c>
      <c r="B76" s="132" t="s">
        <v>287</v>
      </c>
      <c r="C76" s="65"/>
      <c r="D76" s="66"/>
      <c r="E76" s="66"/>
      <c r="F76" s="66"/>
      <c r="G76" s="67"/>
      <c r="H76" s="67"/>
      <c r="I76" s="68"/>
      <c r="J76" s="68"/>
      <c r="K76" s="69"/>
      <c r="L76" s="76" t="s">
        <v>288</v>
      </c>
      <c r="M76" s="70">
        <v>210</v>
      </c>
      <c r="N76" s="71">
        <f t="shared" si="23"/>
        <v>210</v>
      </c>
      <c r="O76" s="70"/>
      <c r="P76" s="70"/>
      <c r="Q76" s="70"/>
      <c r="R76" s="70"/>
      <c r="S76" s="70"/>
      <c r="T76" s="70"/>
      <c r="U76" s="70">
        <f t="shared" si="9"/>
        <v>0</v>
      </c>
      <c r="V76" s="70"/>
      <c r="W76" s="70"/>
      <c r="X76" s="72"/>
      <c r="Y76" s="66"/>
      <c r="Z76" s="268">
        <f t="shared" si="24"/>
        <v>210</v>
      </c>
      <c r="AA76" s="66"/>
      <c r="AB76" s="73"/>
      <c r="AC76" s="74"/>
      <c r="AD76" s="62">
        <f t="shared" si="4"/>
        <v>210</v>
      </c>
      <c r="AE76" s="73"/>
      <c r="AF76" s="75"/>
    </row>
    <row r="77" spans="1:32" s="56" customFormat="1" hidden="1" x14ac:dyDescent="0.25">
      <c r="A77" s="63" t="s">
        <v>289</v>
      </c>
      <c r="B77" s="132" t="s">
        <v>290</v>
      </c>
      <c r="C77" s="65"/>
      <c r="D77" s="66"/>
      <c r="E77" s="66"/>
      <c r="F77" s="66"/>
      <c r="G77" s="67"/>
      <c r="H77" s="67"/>
      <c r="I77" s="68"/>
      <c r="J77" s="68"/>
      <c r="K77" s="69"/>
      <c r="L77" s="76"/>
      <c r="M77" s="70"/>
      <c r="N77" s="71">
        <f t="shared" si="23"/>
        <v>0</v>
      </c>
      <c r="O77" s="70"/>
      <c r="P77" s="70"/>
      <c r="Q77" s="70"/>
      <c r="R77" s="70"/>
      <c r="S77" s="70"/>
      <c r="T77" s="70"/>
      <c r="U77" s="70">
        <f t="shared" si="9"/>
        <v>0</v>
      </c>
      <c r="V77" s="70"/>
      <c r="W77" s="70"/>
      <c r="X77" s="72"/>
      <c r="Y77" s="66"/>
      <c r="Z77" s="268">
        <f t="shared" si="24"/>
        <v>0</v>
      </c>
      <c r="AA77" s="66"/>
      <c r="AB77" s="73"/>
      <c r="AC77" s="74"/>
      <c r="AD77" s="62">
        <f t="shared" si="4"/>
        <v>0</v>
      </c>
      <c r="AE77" s="73"/>
      <c r="AF77" s="75"/>
    </row>
    <row r="78" spans="1:32" s="56" customFormat="1" hidden="1" x14ac:dyDescent="0.25">
      <c r="A78" s="63" t="s">
        <v>291</v>
      </c>
      <c r="B78" s="132" t="s">
        <v>292</v>
      </c>
      <c r="C78" s="65"/>
      <c r="D78" s="66"/>
      <c r="E78" s="66"/>
      <c r="F78" s="66"/>
      <c r="G78" s="67"/>
      <c r="H78" s="67"/>
      <c r="I78" s="68"/>
      <c r="J78" s="68"/>
      <c r="K78" s="69"/>
      <c r="L78" s="76"/>
      <c r="M78" s="70"/>
      <c r="N78" s="71">
        <f t="shared" si="23"/>
        <v>0</v>
      </c>
      <c r="O78" s="70"/>
      <c r="P78" s="70"/>
      <c r="Q78" s="70"/>
      <c r="R78" s="70"/>
      <c r="S78" s="70"/>
      <c r="T78" s="70"/>
      <c r="U78" s="70">
        <f t="shared" si="9"/>
        <v>0</v>
      </c>
      <c r="V78" s="70"/>
      <c r="W78" s="70"/>
      <c r="X78" s="72"/>
      <c r="Y78" s="66"/>
      <c r="Z78" s="268">
        <f t="shared" si="24"/>
        <v>0</v>
      </c>
      <c r="AA78" s="66"/>
      <c r="AB78" s="73"/>
      <c r="AC78" s="74"/>
      <c r="AD78" s="62">
        <f t="shared" si="4"/>
        <v>0</v>
      </c>
      <c r="AE78" s="73"/>
      <c r="AF78" s="75"/>
    </row>
    <row r="79" spans="1:32" s="56" customFormat="1" hidden="1" x14ac:dyDescent="0.25">
      <c r="A79" s="63" t="s">
        <v>293</v>
      </c>
      <c r="B79" s="132" t="s">
        <v>294</v>
      </c>
      <c r="C79" s="65"/>
      <c r="D79" s="66"/>
      <c r="E79" s="66"/>
      <c r="F79" s="66"/>
      <c r="G79" s="67"/>
      <c r="H79" s="67"/>
      <c r="I79" s="68"/>
      <c r="J79" s="68"/>
      <c r="K79" s="69"/>
      <c r="L79" s="76"/>
      <c r="M79" s="70"/>
      <c r="N79" s="71">
        <f t="shared" si="23"/>
        <v>0</v>
      </c>
      <c r="O79" s="70"/>
      <c r="P79" s="70"/>
      <c r="Q79" s="70"/>
      <c r="R79" s="70"/>
      <c r="S79" s="70"/>
      <c r="T79" s="70"/>
      <c r="U79" s="70">
        <f t="shared" si="9"/>
        <v>0</v>
      </c>
      <c r="V79" s="70"/>
      <c r="W79" s="70"/>
      <c r="X79" s="72"/>
      <c r="Y79" s="66"/>
      <c r="Z79" s="268">
        <f t="shared" si="24"/>
        <v>0</v>
      </c>
      <c r="AA79" s="66"/>
      <c r="AB79" s="73"/>
      <c r="AC79" s="74"/>
      <c r="AD79" s="62">
        <f t="shared" si="4"/>
        <v>0</v>
      </c>
      <c r="AE79" s="73"/>
      <c r="AF79" s="75"/>
    </row>
    <row r="80" spans="1:32" s="56" customFormat="1" hidden="1" x14ac:dyDescent="0.25">
      <c r="A80" s="63" t="s">
        <v>295</v>
      </c>
      <c r="B80" s="132" t="s">
        <v>296</v>
      </c>
      <c r="C80" s="65">
        <v>24.5</v>
      </c>
      <c r="D80" s="66"/>
      <c r="E80" s="66"/>
      <c r="F80" s="66">
        <v>24.5</v>
      </c>
      <c r="G80" s="67">
        <v>70.900000000000006</v>
      </c>
      <c r="H80" s="67">
        <v>24.5</v>
      </c>
      <c r="I80" s="68"/>
      <c r="J80" s="68"/>
      <c r="K80" s="69"/>
      <c r="L80" s="76"/>
      <c r="M80" s="70">
        <v>0</v>
      </c>
      <c r="N80" s="71">
        <f t="shared" si="23"/>
        <v>-24.5</v>
      </c>
      <c r="O80" s="70"/>
      <c r="P80" s="70"/>
      <c r="Q80" s="70"/>
      <c r="R80" s="70"/>
      <c r="S80" s="70"/>
      <c r="T80" s="70"/>
      <c r="U80" s="70">
        <f t="shared" si="9"/>
        <v>0</v>
      </c>
      <c r="V80" s="70"/>
      <c r="W80" s="70"/>
      <c r="X80" s="72"/>
      <c r="Y80" s="66"/>
      <c r="Z80" s="268">
        <f t="shared" si="24"/>
        <v>0</v>
      </c>
      <c r="AA80" s="66"/>
      <c r="AB80" s="73"/>
      <c r="AC80" s="74"/>
      <c r="AD80" s="62">
        <f t="shared" si="4"/>
        <v>0</v>
      </c>
      <c r="AE80" s="73"/>
      <c r="AF80" s="75"/>
    </row>
    <row r="81" spans="1:32" s="56" customFormat="1" hidden="1" x14ac:dyDescent="0.25">
      <c r="A81" s="63" t="s">
        <v>297</v>
      </c>
      <c r="B81" s="132" t="s">
        <v>298</v>
      </c>
      <c r="C81" s="65"/>
      <c r="D81" s="66"/>
      <c r="E81" s="66"/>
      <c r="F81" s="66"/>
      <c r="G81" s="67"/>
      <c r="H81" s="67"/>
      <c r="I81" s="68"/>
      <c r="J81" s="68"/>
      <c r="K81" s="69"/>
      <c r="L81" s="76"/>
      <c r="M81" s="70"/>
      <c r="N81" s="71">
        <f t="shared" si="23"/>
        <v>0</v>
      </c>
      <c r="O81" s="70"/>
      <c r="P81" s="70"/>
      <c r="Q81" s="70"/>
      <c r="R81" s="70"/>
      <c r="S81" s="70"/>
      <c r="T81" s="70"/>
      <c r="U81" s="70">
        <f t="shared" si="9"/>
        <v>0</v>
      </c>
      <c r="V81" s="70"/>
      <c r="W81" s="70"/>
      <c r="X81" s="72"/>
      <c r="Y81" s="66"/>
      <c r="Z81" s="268">
        <f t="shared" si="24"/>
        <v>0</v>
      </c>
      <c r="AA81" s="66"/>
      <c r="AB81" s="73"/>
      <c r="AC81" s="74"/>
      <c r="AD81" s="62">
        <f t="shared" ref="AD81:AD96" si="31">Z81+AB81</f>
        <v>0</v>
      </c>
      <c r="AE81" s="73"/>
      <c r="AF81" s="75"/>
    </row>
    <row r="82" spans="1:32" s="56" customFormat="1" ht="31.5" hidden="1" x14ac:dyDescent="0.25">
      <c r="A82" s="63" t="s">
        <v>299</v>
      </c>
      <c r="B82" s="132" t="s">
        <v>300</v>
      </c>
      <c r="C82" s="65"/>
      <c r="D82" s="66"/>
      <c r="E82" s="66"/>
      <c r="F82" s="66"/>
      <c r="G82" s="67"/>
      <c r="H82" s="67"/>
      <c r="I82" s="68"/>
      <c r="J82" s="68"/>
      <c r="K82" s="69"/>
      <c r="L82" s="76"/>
      <c r="M82" s="70"/>
      <c r="N82" s="71">
        <f t="shared" si="23"/>
        <v>0</v>
      </c>
      <c r="O82" s="70"/>
      <c r="P82" s="70"/>
      <c r="Q82" s="70"/>
      <c r="R82" s="70"/>
      <c r="S82" s="70"/>
      <c r="T82" s="70"/>
      <c r="U82" s="70">
        <f t="shared" si="9"/>
        <v>0</v>
      </c>
      <c r="V82" s="70"/>
      <c r="W82" s="70"/>
      <c r="X82" s="72"/>
      <c r="Y82" s="66"/>
      <c r="Z82" s="268">
        <f t="shared" si="24"/>
        <v>0</v>
      </c>
      <c r="AA82" s="66"/>
      <c r="AB82" s="73"/>
      <c r="AC82" s="74"/>
      <c r="AD82" s="62">
        <f t="shared" si="31"/>
        <v>0</v>
      </c>
      <c r="AE82" s="73"/>
      <c r="AF82" s="75"/>
    </row>
    <row r="83" spans="1:32" s="56" customFormat="1" ht="21" customHeight="1" x14ac:dyDescent="0.25">
      <c r="A83" s="63" t="s">
        <v>301</v>
      </c>
      <c r="B83" s="132" t="s">
        <v>302</v>
      </c>
      <c r="C83" s="65">
        <v>40.299999999999997</v>
      </c>
      <c r="D83" s="66">
        <v>40.299999999999997</v>
      </c>
      <c r="E83" s="66"/>
      <c r="F83" s="66"/>
      <c r="G83" s="67">
        <v>40.299999999999997</v>
      </c>
      <c r="H83" s="67">
        <v>0</v>
      </c>
      <c r="I83" s="68"/>
      <c r="J83" s="68"/>
      <c r="K83" s="69"/>
      <c r="L83" s="74" t="s">
        <v>209</v>
      </c>
      <c r="M83" s="70">
        <f>185+9.6</f>
        <v>194.6</v>
      </c>
      <c r="N83" s="71">
        <f t="shared" si="23"/>
        <v>154.30000000000001</v>
      </c>
      <c r="O83" s="70"/>
      <c r="P83" s="70"/>
      <c r="Q83" s="70"/>
      <c r="R83" s="70"/>
      <c r="S83" s="70"/>
      <c r="T83" s="70">
        <v>491.9</v>
      </c>
      <c r="U83" s="70">
        <f t="shared" ref="U83:U96" si="32">Q83+R83+S83+T83</f>
        <v>491.9</v>
      </c>
      <c r="V83" s="70"/>
      <c r="W83" s="70"/>
      <c r="X83" s="72"/>
      <c r="Y83" s="66"/>
      <c r="Z83" s="268">
        <f t="shared" si="24"/>
        <v>686.5</v>
      </c>
      <c r="AA83" s="66"/>
      <c r="AB83" s="73">
        <f t="shared" ref="AB83:AB88" si="33">+M83</f>
        <v>194.6</v>
      </c>
      <c r="AC83" s="74" t="s">
        <v>209</v>
      </c>
      <c r="AD83" s="62">
        <f t="shared" si="31"/>
        <v>881.1</v>
      </c>
      <c r="AE83" s="73"/>
      <c r="AF83" s="75"/>
    </row>
    <row r="84" spans="1:32" s="56" customFormat="1" ht="18" customHeight="1" x14ac:dyDescent="0.25">
      <c r="A84" s="63" t="s">
        <v>303</v>
      </c>
      <c r="B84" s="132" t="s">
        <v>304</v>
      </c>
      <c r="C84" s="65">
        <v>103</v>
      </c>
      <c r="D84" s="66">
        <v>103</v>
      </c>
      <c r="E84" s="66"/>
      <c r="F84" s="66"/>
      <c r="G84" s="67">
        <v>103</v>
      </c>
      <c r="H84" s="67">
        <v>39.200000000000003</v>
      </c>
      <c r="I84" s="68"/>
      <c r="J84" s="68"/>
      <c r="K84" s="69"/>
      <c r="L84" s="74" t="s">
        <v>209</v>
      </c>
      <c r="M84" s="70">
        <f>84.8+281.8</f>
        <v>366.6</v>
      </c>
      <c r="N84" s="71">
        <f t="shared" si="23"/>
        <v>263.60000000000002</v>
      </c>
      <c r="O84" s="70"/>
      <c r="P84" s="70"/>
      <c r="Q84" s="70"/>
      <c r="R84" s="70"/>
      <c r="S84" s="70"/>
      <c r="T84" s="70">
        <f>1332.2/2</f>
        <v>666.1</v>
      </c>
      <c r="U84" s="70">
        <f t="shared" si="32"/>
        <v>666.1</v>
      </c>
      <c r="V84" s="70"/>
      <c r="W84" s="70"/>
      <c r="X84" s="72"/>
      <c r="Y84" s="66"/>
      <c r="Z84" s="268">
        <f t="shared" si="24"/>
        <v>1032.7</v>
      </c>
      <c r="AA84" s="66"/>
      <c r="AB84" s="73">
        <f t="shared" si="33"/>
        <v>366.6</v>
      </c>
      <c r="AC84" s="74" t="s">
        <v>209</v>
      </c>
      <c r="AD84" s="62">
        <f t="shared" si="31"/>
        <v>1399.3000000000002</v>
      </c>
      <c r="AE84" s="73"/>
      <c r="AF84" s="75"/>
    </row>
    <row r="85" spans="1:32" s="56" customFormat="1" ht="31.5" x14ac:dyDescent="0.25">
      <c r="A85" s="63" t="s">
        <v>305</v>
      </c>
      <c r="B85" s="132" t="s">
        <v>306</v>
      </c>
      <c r="C85" s="65">
        <v>1043.5999999999999</v>
      </c>
      <c r="D85" s="66">
        <v>776.2</v>
      </c>
      <c r="E85" s="66"/>
      <c r="F85" s="66">
        <v>0.4</v>
      </c>
      <c r="G85" s="67">
        <v>1238.5</v>
      </c>
      <c r="H85" s="67">
        <v>871.8</v>
      </c>
      <c r="I85" s="68"/>
      <c r="J85" s="68"/>
      <c r="K85" s="69"/>
      <c r="L85" s="74" t="s">
        <v>209</v>
      </c>
      <c r="M85" s="70">
        <f>(126.6+392.8)/2</f>
        <v>259.7</v>
      </c>
      <c r="N85" s="71">
        <f t="shared" si="23"/>
        <v>-516.9</v>
      </c>
      <c r="O85" s="70"/>
      <c r="P85" s="70"/>
      <c r="Q85" s="70"/>
      <c r="R85" s="70"/>
      <c r="S85" s="70"/>
      <c r="T85" s="70">
        <v>392.8</v>
      </c>
      <c r="U85" s="70">
        <f t="shared" si="32"/>
        <v>392.8</v>
      </c>
      <c r="V85" s="70"/>
      <c r="W85" s="70"/>
      <c r="X85" s="72"/>
      <c r="Y85" s="66"/>
      <c r="Z85" s="268">
        <f t="shared" si="24"/>
        <v>652.5</v>
      </c>
      <c r="AA85" s="66"/>
      <c r="AB85" s="73">
        <f t="shared" si="33"/>
        <v>259.7</v>
      </c>
      <c r="AC85" s="74" t="s">
        <v>209</v>
      </c>
      <c r="AD85" s="62">
        <f t="shared" si="31"/>
        <v>912.2</v>
      </c>
      <c r="AE85" s="73"/>
      <c r="AF85" s="75"/>
    </row>
    <row r="86" spans="1:32" s="56" customFormat="1" ht="19.5" customHeight="1" x14ac:dyDescent="0.25">
      <c r="A86" s="63" t="s">
        <v>307</v>
      </c>
      <c r="B86" s="132" t="s">
        <v>308</v>
      </c>
      <c r="C86" s="65">
        <v>86.5</v>
      </c>
      <c r="D86" s="66">
        <v>43.4</v>
      </c>
      <c r="E86" s="66"/>
      <c r="F86" s="66">
        <v>2.2999999999999998</v>
      </c>
      <c r="G86" s="67">
        <v>713.3</v>
      </c>
      <c r="H86" s="67">
        <v>357.8</v>
      </c>
      <c r="I86" s="68"/>
      <c r="J86" s="68"/>
      <c r="K86" s="69"/>
      <c r="L86" s="74" t="s">
        <v>209</v>
      </c>
      <c r="M86" s="70">
        <f>(119.6+338.8)/2</f>
        <v>229.2</v>
      </c>
      <c r="N86" s="71">
        <f t="shared" si="23"/>
        <v>183.49999999999997</v>
      </c>
      <c r="O86" s="70"/>
      <c r="P86" s="70"/>
      <c r="Q86" s="70"/>
      <c r="R86" s="70"/>
      <c r="S86" s="70"/>
      <c r="T86" s="70">
        <v>677.8</v>
      </c>
      <c r="U86" s="70">
        <f t="shared" si="32"/>
        <v>677.8</v>
      </c>
      <c r="V86" s="70"/>
      <c r="W86" s="70"/>
      <c r="X86" s="72"/>
      <c r="Y86" s="66"/>
      <c r="Z86" s="268">
        <f t="shared" si="24"/>
        <v>907</v>
      </c>
      <c r="AA86" s="66"/>
      <c r="AB86" s="73">
        <f t="shared" si="33"/>
        <v>229.2</v>
      </c>
      <c r="AC86" s="74" t="s">
        <v>209</v>
      </c>
      <c r="AD86" s="62">
        <f t="shared" si="31"/>
        <v>1136.2</v>
      </c>
      <c r="AE86" s="73"/>
      <c r="AF86" s="75"/>
    </row>
    <row r="87" spans="1:32" s="56" customFormat="1" ht="17.25" customHeight="1" x14ac:dyDescent="0.25">
      <c r="A87" s="63" t="s">
        <v>309</v>
      </c>
      <c r="B87" s="132" t="s">
        <v>310</v>
      </c>
      <c r="C87" s="65">
        <v>1503.1</v>
      </c>
      <c r="D87" s="66">
        <v>806.5</v>
      </c>
      <c r="E87" s="66"/>
      <c r="F87" s="66">
        <v>4.4000000000000004</v>
      </c>
      <c r="G87" s="67">
        <v>1589.5</v>
      </c>
      <c r="H87" s="67">
        <v>964.5</v>
      </c>
      <c r="I87" s="68"/>
      <c r="J87" s="68"/>
      <c r="K87" s="69"/>
      <c r="L87" s="74" t="s">
        <v>209</v>
      </c>
      <c r="M87" s="70">
        <f>(287.1+1292.3)/2</f>
        <v>789.7</v>
      </c>
      <c r="N87" s="71">
        <f t="shared" si="23"/>
        <v>-21.199999999999953</v>
      </c>
      <c r="O87" s="70"/>
      <c r="P87" s="70"/>
      <c r="Q87" s="70"/>
      <c r="R87" s="70"/>
      <c r="S87" s="70"/>
      <c r="T87" s="70">
        <v>1292.3</v>
      </c>
      <c r="U87" s="70">
        <f t="shared" si="32"/>
        <v>1292.3</v>
      </c>
      <c r="V87" s="70"/>
      <c r="W87" s="70"/>
      <c r="X87" s="72"/>
      <c r="Y87" s="66"/>
      <c r="Z87" s="268">
        <f t="shared" si="24"/>
        <v>2082</v>
      </c>
      <c r="AA87" s="66"/>
      <c r="AB87" s="73">
        <f t="shared" si="33"/>
        <v>789.7</v>
      </c>
      <c r="AC87" s="74" t="s">
        <v>209</v>
      </c>
      <c r="AD87" s="62">
        <f t="shared" si="31"/>
        <v>2871.7</v>
      </c>
      <c r="AE87" s="73"/>
      <c r="AF87" s="75"/>
    </row>
    <row r="88" spans="1:32" s="56" customFormat="1" ht="20.25" customHeight="1" x14ac:dyDescent="0.25">
      <c r="A88" s="63" t="s">
        <v>311</v>
      </c>
      <c r="B88" s="132" t="s">
        <v>312</v>
      </c>
      <c r="C88" s="65">
        <v>1448.7</v>
      </c>
      <c r="D88" s="66">
        <v>632.29999999999995</v>
      </c>
      <c r="E88" s="66"/>
      <c r="F88" s="66">
        <v>0.4</v>
      </c>
      <c r="G88" s="67">
        <v>1522</v>
      </c>
      <c r="H88" s="67">
        <v>1327.6</v>
      </c>
      <c r="I88" s="68"/>
      <c r="J88" s="68"/>
      <c r="K88" s="69"/>
      <c r="L88" s="74" t="s">
        <v>209</v>
      </c>
      <c r="M88" s="70">
        <v>474.9</v>
      </c>
      <c r="N88" s="71">
        <f t="shared" si="23"/>
        <v>-157.79999999999998</v>
      </c>
      <c r="O88" s="70"/>
      <c r="P88" s="70"/>
      <c r="Q88" s="70"/>
      <c r="R88" s="70"/>
      <c r="S88" s="70"/>
      <c r="T88" s="70">
        <v>758.1</v>
      </c>
      <c r="U88" s="70">
        <f t="shared" si="32"/>
        <v>758.1</v>
      </c>
      <c r="V88" s="70"/>
      <c r="W88" s="70"/>
      <c r="X88" s="72"/>
      <c r="Y88" s="66"/>
      <c r="Z88" s="268">
        <f t="shared" si="24"/>
        <v>1233</v>
      </c>
      <c r="AA88" s="66"/>
      <c r="AB88" s="73">
        <f t="shared" si="33"/>
        <v>474.9</v>
      </c>
      <c r="AC88" s="74" t="s">
        <v>209</v>
      </c>
      <c r="AD88" s="62">
        <f t="shared" si="31"/>
        <v>1707.9</v>
      </c>
      <c r="AE88" s="73"/>
      <c r="AF88" s="75"/>
    </row>
    <row r="89" spans="1:32" s="56" customFormat="1" x14ac:dyDescent="0.25">
      <c r="A89" s="63" t="s">
        <v>313</v>
      </c>
      <c r="B89" s="132" t="s">
        <v>314</v>
      </c>
      <c r="C89" s="65">
        <v>198.2</v>
      </c>
      <c r="D89" s="66"/>
      <c r="E89" s="66">
        <v>20</v>
      </c>
      <c r="F89" s="66">
        <v>178.2</v>
      </c>
      <c r="G89" s="67">
        <v>198.2</v>
      </c>
      <c r="H89" s="67">
        <v>27.1</v>
      </c>
      <c r="I89" s="68"/>
      <c r="J89" s="68"/>
      <c r="K89" s="69"/>
      <c r="L89" s="76"/>
      <c r="M89" s="70">
        <v>0</v>
      </c>
      <c r="N89" s="71">
        <f t="shared" si="23"/>
        <v>-178.2</v>
      </c>
      <c r="O89" s="70">
        <v>50</v>
      </c>
      <c r="P89" s="70"/>
      <c r="Q89" s="70"/>
      <c r="R89" s="70"/>
      <c r="S89" s="70"/>
      <c r="T89" s="70"/>
      <c r="U89" s="70">
        <f t="shared" si="32"/>
        <v>0</v>
      </c>
      <c r="V89" s="70"/>
      <c r="W89" s="70"/>
      <c r="X89" s="72"/>
      <c r="Y89" s="66"/>
      <c r="Z89" s="268">
        <f t="shared" si="24"/>
        <v>50</v>
      </c>
      <c r="AA89" s="66"/>
      <c r="AB89" s="73"/>
      <c r="AC89" s="77"/>
      <c r="AD89" s="62">
        <f t="shared" si="31"/>
        <v>50</v>
      </c>
      <c r="AE89" s="73"/>
      <c r="AF89" s="75"/>
    </row>
    <row r="90" spans="1:32" s="56" customFormat="1" x14ac:dyDescent="0.25">
      <c r="A90" s="63" t="s">
        <v>315</v>
      </c>
      <c r="B90" s="132" t="s">
        <v>316</v>
      </c>
      <c r="C90" s="65">
        <v>279.60000000000002</v>
      </c>
      <c r="D90" s="66">
        <v>154.1</v>
      </c>
      <c r="E90" s="66"/>
      <c r="F90" s="66">
        <v>33.700000000000003</v>
      </c>
      <c r="G90" s="67">
        <v>194.4</v>
      </c>
      <c r="H90" s="67">
        <v>50.7</v>
      </c>
      <c r="I90" s="68"/>
      <c r="J90" s="68"/>
      <c r="K90" s="69"/>
      <c r="L90" s="74" t="s">
        <v>209</v>
      </c>
      <c r="M90" s="70">
        <f>107.2+208.2</f>
        <v>315.39999999999998</v>
      </c>
      <c r="N90" s="71">
        <f t="shared" si="23"/>
        <v>127.59999999999998</v>
      </c>
      <c r="O90" s="70"/>
      <c r="P90" s="70"/>
      <c r="Q90" s="70"/>
      <c r="R90" s="70"/>
      <c r="S90" s="70"/>
      <c r="T90" s="70">
        <v>541.79999999999995</v>
      </c>
      <c r="U90" s="70">
        <f t="shared" si="32"/>
        <v>541.79999999999995</v>
      </c>
      <c r="V90" s="70"/>
      <c r="W90" s="70"/>
      <c r="X90" s="72"/>
      <c r="Y90" s="66"/>
      <c r="Z90" s="268">
        <f t="shared" si="24"/>
        <v>857.19999999999993</v>
      </c>
      <c r="AA90" s="66"/>
      <c r="AB90" s="73"/>
      <c r="AC90" s="74"/>
      <c r="AD90" s="62">
        <f t="shared" si="31"/>
        <v>857.19999999999993</v>
      </c>
      <c r="AE90" s="73"/>
      <c r="AF90" s="75"/>
    </row>
    <row r="91" spans="1:32" s="56" customFormat="1" x14ac:dyDescent="0.25">
      <c r="A91" s="63" t="s">
        <v>317</v>
      </c>
      <c r="B91" s="132" t="s">
        <v>318</v>
      </c>
      <c r="C91" s="65">
        <v>382</v>
      </c>
      <c r="D91" s="66"/>
      <c r="E91" s="66"/>
      <c r="F91" s="66"/>
      <c r="G91" s="67">
        <v>100.6</v>
      </c>
      <c r="H91" s="67">
        <v>0</v>
      </c>
      <c r="I91" s="68"/>
      <c r="J91" s="68"/>
      <c r="K91" s="69"/>
      <c r="L91" s="74" t="s">
        <v>209</v>
      </c>
      <c r="M91" s="70">
        <v>250</v>
      </c>
      <c r="N91" s="71">
        <f t="shared" si="23"/>
        <v>250</v>
      </c>
      <c r="O91" s="70"/>
      <c r="P91" s="70"/>
      <c r="Q91" s="70"/>
      <c r="R91" s="70"/>
      <c r="S91" s="70"/>
      <c r="T91" s="70">
        <v>830.8</v>
      </c>
      <c r="U91" s="70">
        <f t="shared" si="32"/>
        <v>830.8</v>
      </c>
      <c r="V91" s="70"/>
      <c r="W91" s="70"/>
      <c r="X91" s="72"/>
      <c r="Y91" s="66"/>
      <c r="Z91" s="268">
        <f t="shared" si="24"/>
        <v>1080.8</v>
      </c>
      <c r="AA91" s="66"/>
      <c r="AB91" s="73"/>
      <c r="AC91" s="74"/>
      <c r="AD91" s="62">
        <f t="shared" si="31"/>
        <v>1080.8</v>
      </c>
      <c r="AE91" s="73"/>
      <c r="AF91" s="75"/>
    </row>
    <row r="92" spans="1:32" s="56" customFormat="1" x14ac:dyDescent="0.25">
      <c r="A92" s="63" t="s">
        <v>319</v>
      </c>
      <c r="B92" s="132" t="s">
        <v>320</v>
      </c>
      <c r="C92" s="65">
        <v>176</v>
      </c>
      <c r="D92" s="66"/>
      <c r="E92" s="66"/>
      <c r="F92" s="66"/>
      <c r="G92" s="67">
        <v>292.39999999999998</v>
      </c>
      <c r="H92" s="67">
        <v>263.3</v>
      </c>
      <c r="I92" s="68"/>
      <c r="J92" s="68"/>
      <c r="K92" s="69"/>
      <c r="L92" s="74" t="s">
        <v>209</v>
      </c>
      <c r="M92" s="70">
        <v>238.2</v>
      </c>
      <c r="N92" s="71">
        <f t="shared" si="23"/>
        <v>238.2</v>
      </c>
      <c r="O92" s="70"/>
      <c r="P92" s="70"/>
      <c r="Q92" s="70"/>
      <c r="R92" s="70"/>
      <c r="S92" s="70"/>
      <c r="T92" s="70">
        <f>230.2+44.9</f>
        <v>275.09999999999997</v>
      </c>
      <c r="U92" s="70">
        <f t="shared" si="32"/>
        <v>275.09999999999997</v>
      </c>
      <c r="V92" s="70"/>
      <c r="W92" s="70"/>
      <c r="X92" s="72"/>
      <c r="Y92" s="66"/>
      <c r="Z92" s="268">
        <f t="shared" si="24"/>
        <v>513.29999999999995</v>
      </c>
      <c r="AA92" s="66"/>
      <c r="AB92" s="73"/>
      <c r="AC92" s="74"/>
      <c r="AD92" s="62">
        <f t="shared" si="31"/>
        <v>513.29999999999995</v>
      </c>
      <c r="AE92" s="73"/>
      <c r="AF92" s="75"/>
    </row>
    <row r="93" spans="1:32" s="56" customFormat="1" ht="31.5" x14ac:dyDescent="0.25">
      <c r="A93" s="134" t="s">
        <v>321</v>
      </c>
      <c r="B93" s="133" t="s">
        <v>322</v>
      </c>
      <c r="C93" s="65"/>
      <c r="D93" s="66"/>
      <c r="E93" s="66"/>
      <c r="F93" s="66"/>
      <c r="G93" s="67"/>
      <c r="H93" s="68"/>
      <c r="I93" s="68"/>
      <c r="J93" s="68"/>
      <c r="K93" s="69"/>
      <c r="L93" s="74" t="s">
        <v>209</v>
      </c>
      <c r="M93" s="70">
        <f>(110.5+292.9)/2</f>
        <v>201.7</v>
      </c>
      <c r="N93" s="71">
        <f t="shared" si="23"/>
        <v>201.7</v>
      </c>
      <c r="O93" s="70"/>
      <c r="P93" s="70"/>
      <c r="Q93" s="70"/>
      <c r="R93" s="70"/>
      <c r="S93" s="70"/>
      <c r="T93" s="70">
        <f>370.6/2</f>
        <v>185.3</v>
      </c>
      <c r="U93" s="70">
        <f t="shared" si="32"/>
        <v>185.3</v>
      </c>
      <c r="V93" s="70"/>
      <c r="W93" s="70"/>
      <c r="X93" s="72"/>
      <c r="Y93" s="66"/>
      <c r="Z93" s="268">
        <f t="shared" si="24"/>
        <v>387</v>
      </c>
      <c r="AA93" s="66"/>
      <c r="AB93" s="73">
        <f>+M93</f>
        <v>201.7</v>
      </c>
      <c r="AC93" s="74" t="s">
        <v>209</v>
      </c>
      <c r="AD93" s="62">
        <f t="shared" si="31"/>
        <v>588.70000000000005</v>
      </c>
      <c r="AE93" s="73"/>
      <c r="AF93" s="75"/>
    </row>
    <row r="94" spans="1:32" s="56" customFormat="1" ht="31.5" hidden="1" x14ac:dyDescent="0.25">
      <c r="A94" s="134" t="s">
        <v>323</v>
      </c>
      <c r="B94" s="133" t="s">
        <v>324</v>
      </c>
      <c r="C94" s="65"/>
      <c r="D94" s="66"/>
      <c r="E94" s="66"/>
      <c r="F94" s="66"/>
      <c r="G94" s="67"/>
      <c r="H94" s="68"/>
      <c r="I94" s="68"/>
      <c r="J94" s="68"/>
      <c r="K94" s="69"/>
      <c r="L94" s="76"/>
      <c r="M94" s="70">
        <v>0</v>
      </c>
      <c r="N94" s="71">
        <f t="shared" si="23"/>
        <v>0</v>
      </c>
      <c r="O94" s="70"/>
      <c r="P94" s="70"/>
      <c r="Q94" s="70"/>
      <c r="R94" s="70"/>
      <c r="S94" s="70"/>
      <c r="T94" s="70"/>
      <c r="U94" s="70">
        <f t="shared" si="32"/>
        <v>0</v>
      </c>
      <c r="V94" s="70"/>
      <c r="W94" s="70"/>
      <c r="X94" s="72"/>
      <c r="Y94" s="66"/>
      <c r="Z94" s="268">
        <f t="shared" si="24"/>
        <v>0</v>
      </c>
      <c r="AA94" s="66"/>
      <c r="AB94" s="73">
        <v>850</v>
      </c>
      <c r="AC94" s="74" t="s">
        <v>209</v>
      </c>
      <c r="AD94" s="62">
        <f t="shared" si="31"/>
        <v>850</v>
      </c>
      <c r="AE94" s="73"/>
      <c r="AF94" s="75"/>
    </row>
    <row r="95" spans="1:32" s="56" customFormat="1" x14ac:dyDescent="0.25">
      <c r="A95" s="134" t="s">
        <v>325</v>
      </c>
      <c r="B95" s="133" t="s">
        <v>326</v>
      </c>
      <c r="C95" s="65"/>
      <c r="D95" s="66"/>
      <c r="E95" s="66"/>
      <c r="F95" s="66"/>
      <c r="G95" s="67"/>
      <c r="H95" s="68"/>
      <c r="I95" s="68"/>
      <c r="J95" s="68"/>
      <c r="K95" s="69"/>
      <c r="L95" s="74" t="s">
        <v>209</v>
      </c>
      <c r="M95" s="70">
        <v>200</v>
      </c>
      <c r="N95" s="71">
        <f t="shared" si="23"/>
        <v>200</v>
      </c>
      <c r="O95" s="70"/>
      <c r="P95" s="70"/>
      <c r="Q95" s="70"/>
      <c r="R95" s="70"/>
      <c r="S95" s="70"/>
      <c r="T95" s="70"/>
      <c r="U95" s="70">
        <f t="shared" si="32"/>
        <v>0</v>
      </c>
      <c r="V95" s="70"/>
      <c r="W95" s="70"/>
      <c r="X95" s="72"/>
      <c r="Y95" s="66"/>
      <c r="Z95" s="268">
        <f t="shared" si="24"/>
        <v>200</v>
      </c>
      <c r="AA95" s="66"/>
      <c r="AB95" s="73"/>
      <c r="AC95" s="74"/>
      <c r="AD95" s="62">
        <f t="shared" si="31"/>
        <v>200</v>
      </c>
      <c r="AE95" s="73"/>
      <c r="AF95" s="75"/>
    </row>
    <row r="96" spans="1:32" s="109" customFormat="1" x14ac:dyDescent="0.25">
      <c r="A96" s="134" t="s">
        <v>327</v>
      </c>
      <c r="B96" s="135" t="s">
        <v>328</v>
      </c>
      <c r="C96" s="65"/>
      <c r="D96" s="66"/>
      <c r="E96" s="66"/>
      <c r="F96" s="66"/>
      <c r="G96" s="67"/>
      <c r="H96" s="68"/>
      <c r="I96" s="68"/>
      <c r="J96" s="68"/>
      <c r="K96" s="69"/>
      <c r="L96" s="74" t="s">
        <v>209</v>
      </c>
      <c r="M96" s="70">
        <f>198.3+352.5</f>
        <v>550.79999999999995</v>
      </c>
      <c r="N96" s="71">
        <f t="shared" si="23"/>
        <v>550.79999999999995</v>
      </c>
      <c r="O96" s="70"/>
      <c r="P96" s="70"/>
      <c r="Q96" s="70"/>
      <c r="R96" s="70"/>
      <c r="S96" s="70"/>
      <c r="T96" s="70"/>
      <c r="U96" s="70">
        <f t="shared" si="32"/>
        <v>0</v>
      </c>
      <c r="V96" s="70"/>
      <c r="W96" s="70"/>
      <c r="X96" s="72"/>
      <c r="Y96" s="66"/>
      <c r="Z96" s="268">
        <f t="shared" si="24"/>
        <v>550.79999999999995</v>
      </c>
      <c r="AA96" s="66"/>
      <c r="AB96" s="73"/>
      <c r="AC96" s="74"/>
      <c r="AD96" s="62">
        <f t="shared" si="31"/>
        <v>550.79999999999995</v>
      </c>
      <c r="AE96" s="73"/>
      <c r="AF96" s="75"/>
    </row>
    <row r="97" spans="1:33" s="109" customFormat="1" x14ac:dyDescent="0.25">
      <c r="A97" s="123"/>
      <c r="B97" s="129"/>
      <c r="C97" s="44"/>
      <c r="D97" s="44"/>
      <c r="E97" s="44"/>
      <c r="F97" s="44"/>
      <c r="G97" s="44"/>
      <c r="H97" s="44"/>
      <c r="I97" s="44"/>
      <c r="J97" s="44"/>
      <c r="K97" s="44"/>
      <c r="L97" s="44"/>
      <c r="M97" s="44"/>
      <c r="N97" s="124"/>
      <c r="O97" s="44"/>
      <c r="P97" s="44"/>
      <c r="Q97" s="44"/>
      <c r="R97" s="44"/>
      <c r="S97" s="44"/>
      <c r="T97" s="44"/>
      <c r="U97" s="44"/>
      <c r="V97" s="44"/>
      <c r="W97" s="44"/>
      <c r="X97" s="44"/>
      <c r="Y97" s="44"/>
      <c r="Z97" s="44"/>
      <c r="AA97" s="44"/>
      <c r="AB97" s="44"/>
      <c r="AC97" s="44"/>
      <c r="AD97" s="44"/>
      <c r="AE97" s="44"/>
      <c r="AF97" s="44"/>
      <c r="AG97" s="44"/>
    </row>
    <row r="98" spans="1:33" x14ac:dyDescent="0.25">
      <c r="A98" s="125"/>
      <c r="B98" s="128"/>
      <c r="K98" s="44"/>
      <c r="L98" s="44"/>
      <c r="M98" s="44"/>
      <c r="N98" s="124"/>
      <c r="O98" s="44"/>
      <c r="P98" s="44"/>
      <c r="Q98" s="44"/>
      <c r="R98" s="44"/>
      <c r="S98" s="44"/>
      <c r="T98" s="44"/>
      <c r="U98" s="44"/>
      <c r="V98" s="44"/>
      <c r="W98" s="44"/>
      <c r="X98" s="44"/>
      <c r="Y98" s="44"/>
      <c r="Z98" s="44"/>
      <c r="AA98" s="44"/>
      <c r="AB98" s="44"/>
      <c r="AC98" s="44"/>
      <c r="AD98" s="44"/>
      <c r="AE98" s="44"/>
      <c r="AF98" s="44"/>
    </row>
    <row r="99" spans="1:33" x14ac:dyDescent="0.25">
      <c r="A99" s="125"/>
      <c r="K99" s="44"/>
      <c r="L99" s="44"/>
      <c r="M99" s="44"/>
      <c r="N99" s="124"/>
      <c r="O99" s="44"/>
      <c r="P99" s="44"/>
      <c r="Q99" s="44"/>
      <c r="R99" s="44"/>
      <c r="S99" s="44"/>
      <c r="T99" s="44"/>
      <c r="U99" s="44"/>
      <c r="V99" s="44"/>
      <c r="W99" s="44"/>
      <c r="X99" s="44"/>
      <c r="Y99" s="44"/>
      <c r="Z99" s="44"/>
      <c r="AA99" s="44"/>
      <c r="AB99" s="44"/>
      <c r="AC99" s="44"/>
      <c r="AD99" s="44"/>
      <c r="AE99" s="44"/>
      <c r="AF99" s="44"/>
    </row>
    <row r="100" spans="1:33" x14ac:dyDescent="0.25">
      <c r="A100" s="125"/>
      <c r="K100" s="44"/>
      <c r="L100" s="44"/>
      <c r="M100" s="44"/>
      <c r="N100" s="124"/>
      <c r="O100" s="44"/>
      <c r="P100" s="44"/>
      <c r="Q100" s="44"/>
      <c r="R100" s="44"/>
      <c r="S100" s="44"/>
      <c r="T100" s="44"/>
      <c r="U100" s="44"/>
      <c r="V100" s="44"/>
      <c r="W100" s="44"/>
      <c r="X100" s="44"/>
      <c r="Y100" s="44"/>
      <c r="Z100" s="44"/>
      <c r="AA100" s="44"/>
      <c r="AB100" s="44"/>
      <c r="AC100" s="44"/>
      <c r="AD100" s="44"/>
      <c r="AE100" s="44"/>
      <c r="AF100" s="44"/>
    </row>
    <row r="101" spans="1:33" x14ac:dyDescent="0.25">
      <c r="A101" s="125"/>
      <c r="K101" s="44"/>
      <c r="L101" s="44"/>
      <c r="M101" s="44"/>
      <c r="N101" s="124"/>
      <c r="O101" s="44"/>
      <c r="P101" s="44"/>
      <c r="Q101" s="44"/>
      <c r="R101" s="44"/>
      <c r="S101" s="44"/>
      <c r="T101" s="44"/>
      <c r="U101" s="44"/>
      <c r="V101" s="44"/>
      <c r="W101" s="44"/>
      <c r="X101" s="44"/>
      <c r="Y101" s="44"/>
      <c r="Z101" s="44"/>
      <c r="AA101" s="44"/>
      <c r="AB101" s="44"/>
      <c r="AC101" s="44"/>
      <c r="AD101" s="44"/>
      <c r="AE101" s="44"/>
      <c r="AF101" s="44"/>
    </row>
    <row r="102" spans="1:33" x14ac:dyDescent="0.25">
      <c r="A102" s="125"/>
      <c r="K102" s="44"/>
      <c r="L102" s="44"/>
      <c r="M102" s="44"/>
      <c r="N102" s="124"/>
      <c r="O102" s="44"/>
      <c r="P102" s="44"/>
      <c r="Q102" s="44"/>
      <c r="R102" s="44"/>
      <c r="S102" s="44"/>
      <c r="T102" s="44"/>
      <c r="U102" s="44"/>
      <c r="V102" s="44"/>
      <c r="W102" s="44"/>
      <c r="X102" s="44"/>
      <c r="Y102" s="44"/>
      <c r="Z102" s="44"/>
      <c r="AA102" s="44"/>
      <c r="AB102" s="44"/>
      <c r="AC102" s="44"/>
      <c r="AD102" s="44"/>
      <c r="AE102" s="44"/>
      <c r="AF102" s="44"/>
    </row>
    <row r="103" spans="1:33" x14ac:dyDescent="0.25">
      <c r="A103" s="125"/>
      <c r="K103" s="44"/>
      <c r="L103" s="44"/>
      <c r="M103" s="44"/>
      <c r="N103" s="124"/>
      <c r="O103" s="44"/>
      <c r="P103" s="44"/>
      <c r="Q103" s="44"/>
      <c r="R103" s="44"/>
      <c r="S103" s="44"/>
      <c r="T103" s="44"/>
      <c r="U103" s="44"/>
      <c r="V103" s="44"/>
      <c r="W103" s="44"/>
      <c r="X103" s="44"/>
      <c r="Y103" s="44"/>
      <c r="Z103" s="44"/>
      <c r="AA103" s="44"/>
      <c r="AB103" s="44"/>
      <c r="AC103" s="44"/>
      <c r="AD103" s="44"/>
      <c r="AE103" s="44"/>
      <c r="AF103" s="44"/>
    </row>
    <row r="104" spans="1:33" x14ac:dyDescent="0.25">
      <c r="A104" s="125"/>
      <c r="K104" s="44"/>
      <c r="L104" s="44"/>
      <c r="M104" s="44"/>
      <c r="N104" s="124"/>
      <c r="O104" s="44"/>
      <c r="P104" s="44"/>
      <c r="Q104" s="44"/>
      <c r="R104" s="44"/>
      <c r="S104" s="44"/>
      <c r="T104" s="44"/>
      <c r="U104" s="44"/>
      <c r="V104" s="44"/>
      <c r="W104" s="44"/>
      <c r="X104" s="44"/>
      <c r="Y104" s="44"/>
      <c r="Z104" s="44"/>
      <c r="AA104" s="44"/>
      <c r="AB104" s="44"/>
      <c r="AC104" s="44"/>
      <c r="AD104" s="44"/>
      <c r="AE104" s="44"/>
      <c r="AF104" s="44"/>
    </row>
    <row r="105" spans="1:33" x14ac:dyDescent="0.25">
      <c r="B105" s="126"/>
      <c r="C105" s="127"/>
      <c r="D105" s="127"/>
      <c r="E105" s="127"/>
      <c r="F105" s="127"/>
      <c r="G105" s="127"/>
      <c r="H105" s="127"/>
      <c r="I105" s="127"/>
      <c r="J105" s="127"/>
      <c r="K105" s="127"/>
      <c r="L105" s="127"/>
      <c r="M105" s="127"/>
      <c r="N105" s="124"/>
      <c r="O105" s="44"/>
      <c r="P105" s="44"/>
      <c r="Q105" s="44"/>
      <c r="R105" s="44"/>
      <c r="S105" s="44"/>
      <c r="T105" s="44"/>
      <c r="U105" s="44"/>
      <c r="V105" s="44"/>
      <c r="W105" s="44"/>
      <c r="X105" s="44"/>
      <c r="Y105" s="44"/>
      <c r="Z105" s="44"/>
      <c r="AA105" s="44"/>
      <c r="AB105" s="44"/>
      <c r="AC105" s="44"/>
      <c r="AD105" s="44"/>
      <c r="AE105" s="44"/>
      <c r="AF105" s="44"/>
    </row>
    <row r="106" spans="1:33" x14ac:dyDescent="0.25">
      <c r="B106" s="127"/>
      <c r="C106" s="127"/>
      <c r="D106" s="127"/>
      <c r="E106" s="127"/>
      <c r="F106" s="127"/>
      <c r="G106" s="127"/>
      <c r="H106" s="127"/>
      <c r="I106" s="127"/>
      <c r="J106" s="127"/>
      <c r="K106" s="127"/>
      <c r="L106" s="127"/>
      <c r="M106" s="127"/>
      <c r="N106" s="124"/>
      <c r="O106" s="44"/>
      <c r="P106" s="44"/>
      <c r="Q106" s="44"/>
      <c r="R106" s="44"/>
      <c r="S106" s="44"/>
      <c r="T106" s="44"/>
      <c r="U106" s="44"/>
      <c r="V106" s="44"/>
      <c r="W106" s="44"/>
      <c r="X106" s="44"/>
      <c r="Y106" s="44"/>
      <c r="Z106" s="44"/>
      <c r="AA106" s="44"/>
      <c r="AB106" s="44"/>
      <c r="AC106" s="44"/>
      <c r="AD106" s="44"/>
      <c r="AE106" s="44"/>
      <c r="AF106" s="44"/>
    </row>
    <row r="107" spans="1:33" x14ac:dyDescent="0.25">
      <c r="B107" s="127"/>
      <c r="C107" s="127"/>
      <c r="D107" s="127"/>
      <c r="E107" s="127"/>
      <c r="F107" s="127"/>
      <c r="G107" s="127"/>
      <c r="H107" s="127"/>
      <c r="I107" s="127"/>
      <c r="J107" s="127"/>
      <c r="K107" s="127"/>
      <c r="L107" s="127"/>
      <c r="M107" s="127"/>
      <c r="N107" s="124"/>
      <c r="O107" s="44"/>
      <c r="P107" s="44"/>
      <c r="Q107" s="44"/>
      <c r="R107" s="44"/>
      <c r="S107" s="44"/>
      <c r="T107" s="44"/>
      <c r="U107" s="44"/>
      <c r="V107" s="44"/>
      <c r="W107" s="44"/>
      <c r="X107" s="44"/>
      <c r="Y107" s="44"/>
      <c r="Z107" s="44"/>
      <c r="AA107" s="44"/>
      <c r="AB107" s="44"/>
      <c r="AC107" s="44"/>
      <c r="AD107" s="44"/>
      <c r="AE107" s="44"/>
      <c r="AF107" s="44"/>
    </row>
    <row r="108" spans="1:33" x14ac:dyDescent="0.25">
      <c r="Z108" s="110"/>
      <c r="AD108" s="49"/>
    </row>
    <row r="109" spans="1:33" x14ac:dyDescent="0.25">
      <c r="Z109" s="110"/>
      <c r="AD109" s="49"/>
    </row>
    <row r="110" spans="1:33" x14ac:dyDescent="0.25">
      <c r="Z110" s="110"/>
      <c r="AD110" s="49"/>
    </row>
    <row r="111" spans="1:33" x14ac:dyDescent="0.25">
      <c r="Z111" s="110"/>
      <c r="AD111" s="49"/>
    </row>
    <row r="112" spans="1:33" x14ac:dyDescent="0.25">
      <c r="Z112" s="110"/>
      <c r="AD112" s="49"/>
    </row>
    <row r="113" spans="26:30" x14ac:dyDescent="0.25">
      <c r="Z113" s="110"/>
      <c r="AD113" s="49"/>
    </row>
    <row r="114" spans="26:30" x14ac:dyDescent="0.25">
      <c r="Z114" s="110"/>
      <c r="AD114" s="49"/>
    </row>
    <row r="115" spans="26:30" x14ac:dyDescent="0.25">
      <c r="Z115" s="110"/>
      <c r="AD115" s="49"/>
    </row>
    <row r="116" spans="26:30" x14ac:dyDescent="0.25">
      <c r="Z116" s="110"/>
      <c r="AD116" s="49"/>
    </row>
    <row r="117" spans="26:30" x14ac:dyDescent="0.25">
      <c r="Z117" s="110"/>
      <c r="AD117" s="49"/>
    </row>
    <row r="118" spans="26:30" x14ac:dyDescent="0.25">
      <c r="Z118" s="110"/>
      <c r="AD118" s="49"/>
    </row>
    <row r="119" spans="26:30" x14ac:dyDescent="0.25">
      <c r="Z119" s="110"/>
      <c r="AD119" s="49"/>
    </row>
    <row r="120" spans="26:30" x14ac:dyDescent="0.25">
      <c r="Z120" s="110"/>
      <c r="AD120" s="49"/>
    </row>
    <row r="121" spans="26:30" x14ac:dyDescent="0.25">
      <c r="Z121" s="110"/>
      <c r="AD121" s="49"/>
    </row>
    <row r="122" spans="26:30" x14ac:dyDescent="0.25">
      <c r="Z122" s="110"/>
      <c r="AD122" s="49"/>
    </row>
    <row r="123" spans="26:30" x14ac:dyDescent="0.25">
      <c r="Z123" s="110"/>
      <c r="AD123" s="49"/>
    </row>
    <row r="124" spans="26:30" x14ac:dyDescent="0.25">
      <c r="Z124" s="110"/>
      <c r="AD124" s="49"/>
    </row>
    <row r="125" spans="26:30" x14ac:dyDescent="0.25">
      <c r="Z125" s="110"/>
      <c r="AD125" s="49"/>
    </row>
    <row r="126" spans="26:30" x14ac:dyDescent="0.25">
      <c r="Z126" s="110"/>
      <c r="AD126" s="49"/>
    </row>
    <row r="127" spans="26:30" x14ac:dyDescent="0.25">
      <c r="Z127" s="110"/>
      <c r="AD127" s="49"/>
    </row>
    <row r="128" spans="26:30" x14ac:dyDescent="0.25">
      <c r="Z128" s="110"/>
      <c r="AD128" s="49"/>
    </row>
    <row r="129" spans="26:30" x14ac:dyDescent="0.25">
      <c r="Z129" s="110"/>
      <c r="AD129" s="49"/>
    </row>
    <row r="130" spans="26:30" x14ac:dyDescent="0.25">
      <c r="Z130" s="110"/>
      <c r="AD130" s="49"/>
    </row>
    <row r="131" spans="26:30" x14ac:dyDescent="0.25">
      <c r="Z131" s="110"/>
      <c r="AD131" s="49"/>
    </row>
    <row r="132" spans="26:30" x14ac:dyDescent="0.25">
      <c r="Z132" s="110"/>
      <c r="AD132" s="49"/>
    </row>
    <row r="133" spans="26:30" x14ac:dyDescent="0.25">
      <c r="Z133" s="110"/>
      <c r="AD133" s="49"/>
    </row>
    <row r="134" spans="26:30" x14ac:dyDescent="0.25">
      <c r="Z134" s="110"/>
      <c r="AD134" s="49"/>
    </row>
    <row r="135" spans="26:30" x14ac:dyDescent="0.25">
      <c r="Z135" s="110"/>
      <c r="AD135" s="49"/>
    </row>
    <row r="136" spans="26:30" x14ac:dyDescent="0.25">
      <c r="Z136" s="110"/>
      <c r="AD136" s="49"/>
    </row>
    <row r="137" spans="26:30" x14ac:dyDescent="0.25">
      <c r="Z137" s="110"/>
      <c r="AD137" s="49"/>
    </row>
    <row r="138" spans="26:30" x14ac:dyDescent="0.25">
      <c r="Z138" s="110"/>
      <c r="AD138" s="49"/>
    </row>
    <row r="139" spans="26:30" x14ac:dyDescent="0.25">
      <c r="Z139" s="110"/>
      <c r="AD139" s="49"/>
    </row>
    <row r="140" spans="26:30" x14ac:dyDescent="0.25">
      <c r="Z140" s="110"/>
      <c r="AD140" s="49"/>
    </row>
    <row r="141" spans="26:30" x14ac:dyDescent="0.25">
      <c r="Z141" s="110"/>
      <c r="AD141" s="49"/>
    </row>
    <row r="142" spans="26:30" x14ac:dyDescent="0.25">
      <c r="Z142" s="110"/>
      <c r="AD142" s="49"/>
    </row>
    <row r="143" spans="26:30" x14ac:dyDescent="0.25">
      <c r="Z143" s="110"/>
      <c r="AD143" s="49"/>
    </row>
    <row r="144" spans="26:30" x14ac:dyDescent="0.25">
      <c r="Z144" s="110"/>
      <c r="AD144" s="49"/>
    </row>
    <row r="145" spans="26:30" x14ac:dyDescent="0.25">
      <c r="Z145" s="110"/>
      <c r="AD145" s="49"/>
    </row>
    <row r="146" spans="26:30" x14ac:dyDescent="0.25">
      <c r="Z146" s="110"/>
      <c r="AD146" s="49"/>
    </row>
    <row r="147" spans="26:30" x14ac:dyDescent="0.25">
      <c r="Z147" s="110"/>
      <c r="AD147" s="49"/>
    </row>
    <row r="148" spans="26:30" x14ac:dyDescent="0.25">
      <c r="Z148" s="110"/>
      <c r="AD148" s="49"/>
    </row>
    <row r="149" spans="26:30" x14ac:dyDescent="0.25">
      <c r="Z149" s="110"/>
      <c r="AD149" s="49"/>
    </row>
    <row r="150" spans="26:30" x14ac:dyDescent="0.25">
      <c r="Z150" s="110"/>
      <c r="AD150" s="49"/>
    </row>
    <row r="151" spans="26:30" x14ac:dyDescent="0.25">
      <c r="Z151" s="110"/>
      <c r="AD151" s="49"/>
    </row>
    <row r="152" spans="26:30" x14ac:dyDescent="0.25">
      <c r="Z152" s="110"/>
      <c r="AD152" s="49"/>
    </row>
    <row r="153" spans="26:30" x14ac:dyDescent="0.25">
      <c r="Z153" s="110"/>
      <c r="AD153" s="49"/>
    </row>
    <row r="154" spans="26:30" x14ac:dyDescent="0.25">
      <c r="Z154" s="110"/>
      <c r="AD154" s="49"/>
    </row>
    <row r="155" spans="26:30" x14ac:dyDescent="0.25">
      <c r="Z155" s="110"/>
      <c r="AD155" s="49"/>
    </row>
    <row r="156" spans="26:30" x14ac:dyDescent="0.25">
      <c r="Z156" s="110"/>
      <c r="AD156" s="49"/>
    </row>
    <row r="157" spans="26:30" x14ac:dyDescent="0.25">
      <c r="Z157" s="110"/>
      <c r="AD157" s="49"/>
    </row>
    <row r="158" spans="26:30" x14ac:dyDescent="0.25">
      <c r="Z158" s="110"/>
      <c r="AD158" s="49"/>
    </row>
    <row r="159" spans="26:30" x14ac:dyDescent="0.25">
      <c r="Z159" s="110"/>
      <c r="AD159" s="49"/>
    </row>
    <row r="160" spans="26:30" x14ac:dyDescent="0.25">
      <c r="Z160" s="110"/>
      <c r="AD160" s="49"/>
    </row>
    <row r="161" spans="26:30" x14ac:dyDescent="0.25">
      <c r="Z161" s="110"/>
      <c r="AD161" s="49"/>
    </row>
    <row r="162" spans="26:30" x14ac:dyDescent="0.25">
      <c r="Z162" s="110"/>
      <c r="AD162" s="49"/>
    </row>
    <row r="163" spans="26:30" x14ac:dyDescent="0.25">
      <c r="Z163" s="110"/>
      <c r="AD163" s="49"/>
    </row>
    <row r="164" spans="26:30" x14ac:dyDescent="0.25">
      <c r="Z164" s="110"/>
      <c r="AD164" s="49"/>
    </row>
    <row r="165" spans="26:30" x14ac:dyDescent="0.25">
      <c r="Z165" s="110"/>
      <c r="AD165" s="49"/>
    </row>
    <row r="166" spans="26:30" x14ac:dyDescent="0.25">
      <c r="Z166" s="110"/>
      <c r="AD166" s="49"/>
    </row>
    <row r="167" spans="26:30" x14ac:dyDescent="0.25">
      <c r="Z167" s="110"/>
      <c r="AD167" s="49"/>
    </row>
    <row r="168" spans="26:30" x14ac:dyDescent="0.25">
      <c r="Z168" s="110"/>
      <c r="AD168" s="49"/>
    </row>
    <row r="169" spans="26:30" x14ac:dyDescent="0.25">
      <c r="Z169" s="110"/>
      <c r="AD169" s="49"/>
    </row>
    <row r="170" spans="26:30" x14ac:dyDescent="0.25">
      <c r="Z170" s="110"/>
      <c r="AD170" s="49"/>
    </row>
    <row r="171" spans="26:30" x14ac:dyDescent="0.25">
      <c r="Z171" s="110"/>
      <c r="AD171" s="49"/>
    </row>
    <row r="172" spans="26:30" x14ac:dyDescent="0.25">
      <c r="Z172" s="110"/>
      <c r="AD172" s="49"/>
    </row>
    <row r="173" spans="26:30" x14ac:dyDescent="0.25">
      <c r="Z173" s="110"/>
      <c r="AD173" s="49"/>
    </row>
    <row r="174" spans="26:30" x14ac:dyDescent="0.25">
      <c r="Z174" s="110"/>
      <c r="AD174" s="49"/>
    </row>
    <row r="175" spans="26:30" x14ac:dyDescent="0.25">
      <c r="Z175" s="110"/>
      <c r="AD175" s="49"/>
    </row>
    <row r="176" spans="26:30" x14ac:dyDescent="0.25">
      <c r="Z176" s="110"/>
      <c r="AD176" s="49"/>
    </row>
    <row r="177" spans="26:30" x14ac:dyDescent="0.25">
      <c r="Z177" s="110"/>
      <c r="AD177" s="49"/>
    </row>
    <row r="178" spans="26:30" x14ac:dyDescent="0.25">
      <c r="Z178" s="110"/>
      <c r="AD178" s="49"/>
    </row>
    <row r="179" spans="26:30" x14ac:dyDescent="0.25">
      <c r="Z179" s="110"/>
      <c r="AD179" s="49"/>
    </row>
    <row r="180" spans="26:30" x14ac:dyDescent="0.25">
      <c r="Z180" s="110"/>
      <c r="AD180" s="49"/>
    </row>
    <row r="181" spans="26:30" x14ac:dyDescent="0.25">
      <c r="Z181" s="110"/>
      <c r="AD181" s="49"/>
    </row>
    <row r="182" spans="26:30" x14ac:dyDescent="0.25">
      <c r="Z182" s="110"/>
      <c r="AD182" s="49"/>
    </row>
    <row r="183" spans="26:30" x14ac:dyDescent="0.25">
      <c r="Z183" s="110"/>
      <c r="AD183" s="49"/>
    </row>
    <row r="184" spans="26:30" x14ac:dyDescent="0.25">
      <c r="Z184" s="110"/>
      <c r="AD184" s="49"/>
    </row>
    <row r="185" spans="26:30" x14ac:dyDescent="0.25">
      <c r="Z185" s="110"/>
      <c r="AD185" s="49"/>
    </row>
    <row r="186" spans="26:30" x14ac:dyDescent="0.25">
      <c r="Z186" s="110"/>
      <c r="AD186" s="49"/>
    </row>
    <row r="187" spans="26:30" x14ac:dyDescent="0.25">
      <c r="Z187" s="110"/>
      <c r="AD187" s="49"/>
    </row>
    <row r="188" spans="26:30" x14ac:dyDescent="0.25">
      <c r="Z188" s="110"/>
      <c r="AD188" s="49"/>
    </row>
    <row r="189" spans="26:30" x14ac:dyDescent="0.25">
      <c r="Z189" s="110"/>
      <c r="AD189" s="49"/>
    </row>
    <row r="190" spans="26:30" x14ac:dyDescent="0.25">
      <c r="Z190" s="110"/>
      <c r="AD190" s="49"/>
    </row>
    <row r="191" spans="26:30" x14ac:dyDescent="0.25">
      <c r="Z191" s="110"/>
      <c r="AD191" s="49"/>
    </row>
    <row r="192" spans="26:30" x14ac:dyDescent="0.25">
      <c r="Z192" s="110"/>
      <c r="AD192" s="49"/>
    </row>
    <row r="193" spans="26:30" x14ac:dyDescent="0.25">
      <c r="Z193" s="110"/>
      <c r="AD193" s="49"/>
    </row>
    <row r="194" spans="26:30" x14ac:dyDescent="0.25">
      <c r="Z194" s="110"/>
      <c r="AD194" s="49"/>
    </row>
    <row r="195" spans="26:30" x14ac:dyDescent="0.25">
      <c r="Z195" s="110"/>
      <c r="AD195" s="49"/>
    </row>
    <row r="196" spans="26:30" x14ac:dyDescent="0.25">
      <c r="Z196" s="110"/>
      <c r="AD196" s="49"/>
    </row>
    <row r="197" spans="26:30" x14ac:dyDescent="0.25">
      <c r="Z197" s="110"/>
      <c r="AD197" s="49"/>
    </row>
    <row r="198" spans="26:30" x14ac:dyDescent="0.25">
      <c r="Z198" s="110"/>
      <c r="AD198" s="49"/>
    </row>
    <row r="199" spans="26:30" x14ac:dyDescent="0.25">
      <c r="Z199" s="110"/>
      <c r="AD199" s="49"/>
    </row>
    <row r="200" spans="26:30" x14ac:dyDescent="0.25">
      <c r="Z200" s="110"/>
      <c r="AD200" s="49"/>
    </row>
    <row r="201" spans="26:30" x14ac:dyDescent="0.25">
      <c r="Z201" s="110"/>
      <c r="AD201" s="49"/>
    </row>
    <row r="202" spans="26:30" x14ac:dyDescent="0.25">
      <c r="Z202" s="110"/>
      <c r="AD202" s="49"/>
    </row>
    <row r="203" spans="26:30" x14ac:dyDescent="0.25">
      <c r="Z203" s="110"/>
      <c r="AD203" s="49"/>
    </row>
    <row r="204" spans="26:30" x14ac:dyDescent="0.25">
      <c r="Z204" s="110"/>
      <c r="AD204" s="49"/>
    </row>
    <row r="205" spans="26:30" x14ac:dyDescent="0.25">
      <c r="Z205" s="110"/>
      <c r="AD205" s="49"/>
    </row>
    <row r="206" spans="26:30" x14ac:dyDescent="0.25">
      <c r="Z206" s="110"/>
      <c r="AD206" s="49"/>
    </row>
    <row r="207" spans="26:30" x14ac:dyDescent="0.25">
      <c r="Z207" s="110"/>
      <c r="AD207" s="49"/>
    </row>
    <row r="208" spans="26:30" x14ac:dyDescent="0.25">
      <c r="Z208" s="110"/>
      <c r="AD208" s="49"/>
    </row>
    <row r="209" spans="26:30" x14ac:dyDescent="0.25">
      <c r="Z209" s="110"/>
      <c r="AD209" s="49"/>
    </row>
    <row r="210" spans="26:30" x14ac:dyDescent="0.25">
      <c r="Z210" s="110"/>
      <c r="AD210" s="49"/>
    </row>
    <row r="211" spans="26:30" x14ac:dyDescent="0.25">
      <c r="Z211" s="110"/>
      <c r="AD211" s="49"/>
    </row>
    <row r="212" spans="26:30" x14ac:dyDescent="0.25">
      <c r="Z212" s="110"/>
      <c r="AD212" s="49"/>
    </row>
    <row r="213" spans="26:30" x14ac:dyDescent="0.25">
      <c r="Z213" s="110"/>
      <c r="AD213" s="49"/>
    </row>
    <row r="214" spans="26:30" x14ac:dyDescent="0.25">
      <c r="Z214" s="110"/>
      <c r="AD214" s="49"/>
    </row>
    <row r="215" spans="26:30" x14ac:dyDescent="0.25">
      <c r="Z215" s="110"/>
      <c r="AD215" s="49"/>
    </row>
    <row r="216" spans="26:30" x14ac:dyDescent="0.25">
      <c r="Z216" s="110"/>
      <c r="AD216" s="49"/>
    </row>
    <row r="217" spans="26:30" x14ac:dyDescent="0.25">
      <c r="Z217" s="110"/>
      <c r="AD217" s="49"/>
    </row>
    <row r="218" spans="26:30" x14ac:dyDescent="0.25">
      <c r="Z218" s="110"/>
      <c r="AD218" s="49"/>
    </row>
    <row r="219" spans="26:30" x14ac:dyDescent="0.25">
      <c r="Z219" s="110"/>
      <c r="AD219" s="49"/>
    </row>
    <row r="220" spans="26:30" x14ac:dyDescent="0.25">
      <c r="Z220" s="110"/>
      <c r="AD220" s="49"/>
    </row>
    <row r="221" spans="26:30" x14ac:dyDescent="0.25">
      <c r="Z221" s="110"/>
      <c r="AD221" s="49"/>
    </row>
    <row r="222" spans="26:30" x14ac:dyDescent="0.25">
      <c r="Z222" s="110"/>
      <c r="AD222" s="49"/>
    </row>
    <row r="223" spans="26:30" x14ac:dyDescent="0.25">
      <c r="Z223" s="110"/>
      <c r="AD223" s="49"/>
    </row>
    <row r="224" spans="26:30" x14ac:dyDescent="0.25">
      <c r="Z224" s="110"/>
      <c r="AD224" s="49"/>
    </row>
    <row r="225" spans="26:30" x14ac:dyDescent="0.25">
      <c r="Z225" s="110"/>
      <c r="AD225" s="49"/>
    </row>
    <row r="226" spans="26:30" x14ac:dyDescent="0.25">
      <c r="Z226" s="110"/>
      <c r="AD226" s="49"/>
    </row>
    <row r="227" spans="26:30" x14ac:dyDescent="0.25">
      <c r="Z227" s="110"/>
      <c r="AD227" s="49"/>
    </row>
    <row r="228" spans="26:30" x14ac:dyDescent="0.25">
      <c r="Z228" s="110"/>
      <c r="AD228" s="49"/>
    </row>
    <row r="229" spans="26:30" x14ac:dyDescent="0.25">
      <c r="Z229" s="110"/>
      <c r="AD229" s="49"/>
    </row>
    <row r="230" spans="26:30" x14ac:dyDescent="0.25">
      <c r="Z230" s="110"/>
      <c r="AD230" s="49"/>
    </row>
    <row r="231" spans="26:30" x14ac:dyDescent="0.25">
      <c r="Z231" s="110"/>
      <c r="AD231" s="49"/>
    </row>
    <row r="232" spans="26:30" x14ac:dyDescent="0.25">
      <c r="Z232" s="110"/>
      <c r="AD232" s="49"/>
    </row>
    <row r="233" spans="26:30" x14ac:dyDescent="0.25">
      <c r="Z233" s="110"/>
      <c r="AD233" s="49"/>
    </row>
    <row r="234" spans="26:30" x14ac:dyDescent="0.25">
      <c r="Z234" s="110"/>
      <c r="AD234" s="49"/>
    </row>
    <row r="235" spans="26:30" x14ac:dyDescent="0.25">
      <c r="Z235" s="110"/>
      <c r="AD235" s="49"/>
    </row>
    <row r="236" spans="26:30" x14ac:dyDescent="0.25">
      <c r="Z236" s="110"/>
      <c r="AD236" s="49"/>
    </row>
    <row r="237" spans="26:30" x14ac:dyDescent="0.25">
      <c r="Z237" s="110"/>
      <c r="AD237" s="49"/>
    </row>
    <row r="238" spans="26:30" x14ac:dyDescent="0.25">
      <c r="Z238" s="110"/>
      <c r="AD238" s="49"/>
    </row>
    <row r="239" spans="26:30" x14ac:dyDescent="0.25">
      <c r="Z239" s="110"/>
      <c r="AD239" s="49"/>
    </row>
    <row r="240" spans="26:30" x14ac:dyDescent="0.25">
      <c r="Z240" s="110"/>
      <c r="AD240" s="49"/>
    </row>
    <row r="241" spans="26:30" x14ac:dyDescent="0.25">
      <c r="Z241" s="110"/>
      <c r="AD241" s="49"/>
    </row>
    <row r="242" spans="26:30" x14ac:dyDescent="0.25">
      <c r="Z242" s="110"/>
      <c r="AD242" s="49"/>
    </row>
    <row r="243" spans="26:30" x14ac:dyDescent="0.25">
      <c r="Z243" s="110"/>
      <c r="AD243" s="49"/>
    </row>
    <row r="244" spans="26:30" x14ac:dyDescent="0.25">
      <c r="Z244" s="110"/>
      <c r="AD244" s="49"/>
    </row>
    <row r="245" spans="26:30" x14ac:dyDescent="0.25">
      <c r="Z245" s="110"/>
      <c r="AD245" s="49"/>
    </row>
    <row r="246" spans="26:30" x14ac:dyDescent="0.25">
      <c r="Z246" s="110"/>
      <c r="AD246" s="49"/>
    </row>
    <row r="247" spans="26:30" x14ac:dyDescent="0.25">
      <c r="Z247" s="110"/>
      <c r="AD247" s="49"/>
    </row>
    <row r="248" spans="26:30" x14ac:dyDescent="0.25">
      <c r="Z248" s="110"/>
      <c r="AD248" s="49"/>
    </row>
    <row r="249" spans="26:30" x14ac:dyDescent="0.25">
      <c r="Z249" s="110"/>
      <c r="AD249" s="49"/>
    </row>
    <row r="250" spans="26:30" x14ac:dyDescent="0.25">
      <c r="Z250" s="110"/>
      <c r="AD250" s="49"/>
    </row>
    <row r="251" spans="26:30" x14ac:dyDescent="0.25">
      <c r="Z251" s="110"/>
      <c r="AD251" s="49"/>
    </row>
    <row r="252" spans="26:30" x14ac:dyDescent="0.25">
      <c r="Z252" s="110"/>
      <c r="AD252" s="49"/>
    </row>
    <row r="253" spans="26:30" x14ac:dyDescent="0.25">
      <c r="Z253" s="110"/>
      <c r="AD253" s="49"/>
    </row>
    <row r="254" spans="26:30" x14ac:dyDescent="0.25">
      <c r="Z254" s="110"/>
      <c r="AD254" s="49"/>
    </row>
    <row r="255" spans="26:30" x14ac:dyDescent="0.25">
      <c r="Z255" s="110"/>
      <c r="AD255" s="49"/>
    </row>
    <row r="256" spans="26:30" x14ac:dyDescent="0.25">
      <c r="Z256" s="110"/>
      <c r="AD256" s="49"/>
    </row>
    <row r="257" spans="26:30" x14ac:dyDescent="0.25">
      <c r="Z257" s="110"/>
      <c r="AD257" s="49"/>
    </row>
    <row r="258" spans="26:30" x14ac:dyDescent="0.25">
      <c r="Z258" s="110"/>
      <c r="AD258" s="49"/>
    </row>
    <row r="259" spans="26:30" x14ac:dyDescent="0.25">
      <c r="Z259" s="110"/>
      <c r="AD259" s="49"/>
    </row>
    <row r="260" spans="26:30" x14ac:dyDescent="0.25">
      <c r="Z260" s="110"/>
      <c r="AD260" s="49"/>
    </row>
    <row r="261" spans="26:30" x14ac:dyDescent="0.25">
      <c r="Z261" s="110"/>
      <c r="AD261" s="49"/>
    </row>
    <row r="262" spans="26:30" x14ac:dyDescent="0.25">
      <c r="Z262" s="110"/>
      <c r="AD262" s="49"/>
    </row>
    <row r="263" spans="26:30" x14ac:dyDescent="0.25">
      <c r="Z263" s="110"/>
      <c r="AD263" s="49"/>
    </row>
    <row r="264" spans="26:30" x14ac:dyDescent="0.25">
      <c r="Z264" s="110"/>
      <c r="AD264" s="49"/>
    </row>
    <row r="265" spans="26:30" x14ac:dyDescent="0.25">
      <c r="Z265" s="110"/>
      <c r="AD265" s="49"/>
    </row>
    <row r="266" spans="26:30" x14ac:dyDescent="0.25">
      <c r="Z266" s="110"/>
      <c r="AD266" s="49"/>
    </row>
    <row r="267" spans="26:30" x14ac:dyDescent="0.25">
      <c r="Z267" s="110"/>
      <c r="AD267" s="49"/>
    </row>
    <row r="268" spans="26:30" x14ac:dyDescent="0.25">
      <c r="Z268" s="110"/>
      <c r="AD268" s="49"/>
    </row>
    <row r="269" spans="26:30" x14ac:dyDescent="0.25">
      <c r="Z269" s="110"/>
      <c r="AD269" s="49"/>
    </row>
    <row r="270" spans="26:30" x14ac:dyDescent="0.25">
      <c r="Z270" s="110"/>
      <c r="AD270" s="49"/>
    </row>
    <row r="271" spans="26:30" x14ac:dyDescent="0.25">
      <c r="Z271" s="110"/>
      <c r="AD271" s="49"/>
    </row>
    <row r="272" spans="26:30" x14ac:dyDescent="0.25">
      <c r="Z272" s="110"/>
      <c r="AD272" s="49"/>
    </row>
    <row r="273" spans="26:30" x14ac:dyDescent="0.25">
      <c r="Z273" s="110"/>
      <c r="AD273" s="49"/>
    </row>
    <row r="274" spans="26:30" x14ac:dyDescent="0.25">
      <c r="Z274" s="110"/>
      <c r="AD274" s="49"/>
    </row>
    <row r="275" spans="26:30" x14ac:dyDescent="0.25">
      <c r="Z275" s="110"/>
      <c r="AD275" s="49"/>
    </row>
    <row r="276" spans="26:30" x14ac:dyDescent="0.25">
      <c r="Z276" s="110"/>
      <c r="AD276" s="49"/>
    </row>
    <row r="277" spans="26:30" x14ac:dyDescent="0.25">
      <c r="Z277" s="110"/>
      <c r="AD277" s="49"/>
    </row>
    <row r="278" spans="26:30" x14ac:dyDescent="0.25">
      <c r="Z278" s="110"/>
      <c r="AD278" s="49"/>
    </row>
    <row r="279" spans="26:30" x14ac:dyDescent="0.25">
      <c r="Z279" s="110"/>
      <c r="AD279" s="49"/>
    </row>
    <row r="280" spans="26:30" x14ac:dyDescent="0.25">
      <c r="Z280" s="110"/>
      <c r="AD280" s="49"/>
    </row>
    <row r="281" spans="26:30" x14ac:dyDescent="0.25">
      <c r="Z281" s="110"/>
      <c r="AD281" s="49"/>
    </row>
    <row r="282" spans="26:30" x14ac:dyDescent="0.25">
      <c r="Z282" s="110"/>
      <c r="AD282" s="49"/>
    </row>
    <row r="283" spans="26:30" x14ac:dyDescent="0.25">
      <c r="Z283" s="110"/>
      <c r="AD283" s="49"/>
    </row>
    <row r="284" spans="26:30" x14ac:dyDescent="0.25">
      <c r="Z284" s="110"/>
      <c r="AD284" s="49"/>
    </row>
    <row r="285" spans="26:30" x14ac:dyDescent="0.25">
      <c r="Z285" s="110"/>
      <c r="AD285" s="49"/>
    </row>
    <row r="286" spans="26:30" x14ac:dyDescent="0.25">
      <c r="Z286" s="110"/>
      <c r="AD286" s="49"/>
    </row>
    <row r="287" spans="26:30" x14ac:dyDescent="0.25">
      <c r="Z287" s="110"/>
      <c r="AD287" s="49"/>
    </row>
    <row r="288" spans="26:30" x14ac:dyDescent="0.25">
      <c r="Z288" s="110"/>
      <c r="AD288" s="49"/>
    </row>
    <row r="289" spans="26:30" x14ac:dyDescent="0.25">
      <c r="Z289" s="110"/>
      <c r="AD289" s="49"/>
    </row>
    <row r="290" spans="26:30" x14ac:dyDescent="0.25">
      <c r="Z290" s="110"/>
      <c r="AD290" s="49"/>
    </row>
    <row r="291" spans="26:30" x14ac:dyDescent="0.25">
      <c r="Z291" s="110"/>
      <c r="AD291" s="49"/>
    </row>
    <row r="292" spans="26:30" x14ac:dyDescent="0.25">
      <c r="Z292" s="110"/>
      <c r="AD292" s="49"/>
    </row>
    <row r="293" spans="26:30" x14ac:dyDescent="0.25">
      <c r="Z293" s="110"/>
      <c r="AD293" s="49"/>
    </row>
    <row r="294" spans="26:30" x14ac:dyDescent="0.25">
      <c r="Z294" s="110"/>
      <c r="AD294" s="49"/>
    </row>
    <row r="295" spans="26:30" x14ac:dyDescent="0.25">
      <c r="Z295" s="110"/>
      <c r="AD295" s="49"/>
    </row>
    <row r="296" spans="26:30" x14ac:dyDescent="0.25">
      <c r="Z296" s="110"/>
      <c r="AD296" s="49"/>
    </row>
    <row r="297" spans="26:30" x14ac:dyDescent="0.25">
      <c r="Z297" s="110"/>
      <c r="AD297" s="49"/>
    </row>
    <row r="298" spans="26:30" x14ac:dyDescent="0.25">
      <c r="Z298" s="110"/>
      <c r="AD298" s="49"/>
    </row>
    <row r="299" spans="26:30" x14ac:dyDescent="0.25">
      <c r="Z299" s="110"/>
      <c r="AD299" s="49"/>
    </row>
    <row r="300" spans="26:30" x14ac:dyDescent="0.25">
      <c r="Z300" s="110"/>
      <c r="AD300" s="49"/>
    </row>
    <row r="301" spans="26:30" x14ac:dyDescent="0.25">
      <c r="Z301" s="110"/>
      <c r="AD301" s="49"/>
    </row>
    <row r="302" spans="26:30" x14ac:dyDescent="0.25">
      <c r="Z302" s="110"/>
      <c r="AD302" s="49"/>
    </row>
    <row r="303" spans="26:30" x14ac:dyDescent="0.25">
      <c r="Z303" s="110"/>
      <c r="AD303" s="49"/>
    </row>
    <row r="304" spans="26:30" x14ac:dyDescent="0.25">
      <c r="Z304" s="110"/>
      <c r="AD304" s="49"/>
    </row>
    <row r="305" spans="26:30" x14ac:dyDescent="0.25">
      <c r="Z305" s="110"/>
      <c r="AD305" s="49"/>
    </row>
    <row r="306" spans="26:30" x14ac:dyDescent="0.25">
      <c r="Z306" s="110"/>
      <c r="AD306" s="49"/>
    </row>
    <row r="307" spans="26:30" x14ac:dyDescent="0.25">
      <c r="Z307" s="110"/>
      <c r="AD307" s="49"/>
    </row>
    <row r="308" spans="26:30" x14ac:dyDescent="0.25">
      <c r="Z308" s="110"/>
      <c r="AD308" s="49"/>
    </row>
    <row r="309" spans="26:30" x14ac:dyDescent="0.25">
      <c r="Z309" s="110"/>
      <c r="AD309" s="49"/>
    </row>
    <row r="310" spans="26:30" x14ac:dyDescent="0.25">
      <c r="Z310" s="110"/>
      <c r="AD310" s="49"/>
    </row>
    <row r="311" spans="26:30" x14ac:dyDescent="0.25">
      <c r="Z311" s="110"/>
      <c r="AD311" s="49"/>
    </row>
    <row r="312" spans="26:30" x14ac:dyDescent="0.25">
      <c r="Z312" s="110"/>
      <c r="AD312" s="49"/>
    </row>
    <row r="313" spans="26:30" x14ac:dyDescent="0.25">
      <c r="Z313" s="110"/>
      <c r="AD313" s="49"/>
    </row>
    <row r="314" spans="26:30" x14ac:dyDescent="0.25">
      <c r="Z314" s="110"/>
      <c r="AD314" s="49"/>
    </row>
    <row r="315" spans="26:30" x14ac:dyDescent="0.25">
      <c r="Z315" s="110"/>
      <c r="AD315" s="49"/>
    </row>
    <row r="316" spans="26:30" x14ac:dyDescent="0.25">
      <c r="Z316" s="110"/>
      <c r="AD316" s="49"/>
    </row>
    <row r="317" spans="26:30" x14ac:dyDescent="0.25">
      <c r="Z317" s="110"/>
      <c r="AD317" s="49"/>
    </row>
    <row r="318" spans="26:30" x14ac:dyDescent="0.25">
      <c r="Z318" s="110"/>
      <c r="AD318" s="49"/>
    </row>
    <row r="319" spans="26:30" x14ac:dyDescent="0.25">
      <c r="Z319" s="110"/>
      <c r="AD319" s="49"/>
    </row>
    <row r="320" spans="26:30" x14ac:dyDescent="0.25">
      <c r="Z320" s="110"/>
      <c r="AD320" s="49"/>
    </row>
    <row r="321" spans="26:30" x14ac:dyDescent="0.25">
      <c r="Z321" s="110"/>
      <c r="AD321" s="49"/>
    </row>
    <row r="322" spans="26:30" x14ac:dyDescent="0.25">
      <c r="Z322" s="110"/>
      <c r="AD322" s="49"/>
    </row>
    <row r="323" spans="26:30" x14ac:dyDescent="0.25">
      <c r="Z323" s="110"/>
      <c r="AD323" s="49"/>
    </row>
    <row r="324" spans="26:30" x14ac:dyDescent="0.25">
      <c r="Z324" s="110"/>
      <c r="AD324" s="49"/>
    </row>
    <row r="325" spans="26:30" x14ac:dyDescent="0.25">
      <c r="Z325" s="110"/>
      <c r="AD325" s="49"/>
    </row>
    <row r="326" spans="26:30" x14ac:dyDescent="0.25">
      <c r="Z326" s="110"/>
      <c r="AD326" s="49"/>
    </row>
    <row r="327" spans="26:30" x14ac:dyDescent="0.25">
      <c r="Z327" s="110"/>
      <c r="AD327" s="49"/>
    </row>
    <row r="328" spans="26:30" x14ac:dyDescent="0.25">
      <c r="Z328" s="110"/>
      <c r="AD328" s="49"/>
    </row>
    <row r="329" spans="26:30" x14ac:dyDescent="0.25">
      <c r="Z329" s="110"/>
      <c r="AD329" s="49"/>
    </row>
    <row r="330" spans="26:30" x14ac:dyDescent="0.25">
      <c r="Z330" s="110"/>
      <c r="AD330" s="49"/>
    </row>
    <row r="331" spans="26:30" x14ac:dyDescent="0.25">
      <c r="Z331" s="110"/>
      <c r="AD331" s="49"/>
    </row>
    <row r="332" spans="26:30" x14ac:dyDescent="0.25">
      <c r="Z332" s="110"/>
      <c r="AD332" s="49"/>
    </row>
    <row r="333" spans="26:30" x14ac:dyDescent="0.25">
      <c r="Z333" s="110"/>
      <c r="AD333" s="49"/>
    </row>
    <row r="334" spans="26:30" x14ac:dyDescent="0.25">
      <c r="Z334" s="110"/>
      <c r="AD334" s="49"/>
    </row>
    <row r="335" spans="26:30" x14ac:dyDescent="0.25">
      <c r="Z335" s="110"/>
      <c r="AD335" s="49"/>
    </row>
    <row r="336" spans="26:30" x14ac:dyDescent="0.25">
      <c r="Z336" s="110"/>
      <c r="AD336" s="49"/>
    </row>
    <row r="337" spans="26:30" x14ac:dyDescent="0.25">
      <c r="Z337" s="110"/>
      <c r="AD337" s="49"/>
    </row>
    <row r="338" spans="26:30" x14ac:dyDescent="0.25">
      <c r="Z338" s="110"/>
      <c r="AD338" s="49"/>
    </row>
    <row r="339" spans="26:30" x14ac:dyDescent="0.25">
      <c r="Z339" s="110"/>
      <c r="AD339" s="49"/>
    </row>
    <row r="340" spans="26:30" x14ac:dyDescent="0.25">
      <c r="Z340" s="110"/>
      <c r="AD340" s="49"/>
    </row>
    <row r="341" spans="26:30" x14ac:dyDescent="0.25">
      <c r="Z341" s="110"/>
      <c r="AD341" s="49"/>
    </row>
    <row r="342" spans="26:30" x14ac:dyDescent="0.25">
      <c r="Z342" s="110"/>
      <c r="AD342" s="49"/>
    </row>
    <row r="343" spans="26:30" x14ac:dyDescent="0.25">
      <c r="Z343" s="110"/>
      <c r="AD343" s="49"/>
    </row>
    <row r="344" spans="26:30" x14ac:dyDescent="0.25">
      <c r="Z344" s="110"/>
      <c r="AD344" s="49"/>
    </row>
    <row r="345" spans="26:30" x14ac:dyDescent="0.25">
      <c r="Z345" s="110"/>
      <c r="AD345" s="49"/>
    </row>
    <row r="346" spans="26:30" x14ac:dyDescent="0.25">
      <c r="Z346" s="110"/>
      <c r="AD346" s="49"/>
    </row>
    <row r="347" spans="26:30" x14ac:dyDescent="0.25">
      <c r="Z347" s="110"/>
      <c r="AD347" s="49"/>
    </row>
    <row r="348" spans="26:30" x14ac:dyDescent="0.25">
      <c r="Z348" s="110"/>
      <c r="AD348" s="49"/>
    </row>
    <row r="349" spans="26:30" x14ac:dyDescent="0.25">
      <c r="Z349" s="110"/>
      <c r="AD349" s="49"/>
    </row>
    <row r="350" spans="26:30" x14ac:dyDescent="0.25">
      <c r="Z350" s="110"/>
      <c r="AD350" s="49"/>
    </row>
    <row r="351" spans="26:30" x14ac:dyDescent="0.25">
      <c r="Z351" s="110"/>
      <c r="AD351" s="49"/>
    </row>
    <row r="352" spans="26:30" x14ac:dyDescent="0.25">
      <c r="Z352" s="110"/>
      <c r="AD352" s="49"/>
    </row>
    <row r="353" spans="26:30" x14ac:dyDescent="0.25">
      <c r="Z353" s="110"/>
      <c r="AD353" s="49"/>
    </row>
    <row r="354" spans="26:30" x14ac:dyDescent="0.25">
      <c r="Z354" s="110"/>
      <c r="AD354" s="49"/>
    </row>
    <row r="355" spans="26:30" x14ac:dyDescent="0.25">
      <c r="Z355" s="110"/>
      <c r="AD355" s="49"/>
    </row>
    <row r="356" spans="26:30" x14ac:dyDescent="0.25">
      <c r="Z356" s="110"/>
      <c r="AD356" s="49"/>
    </row>
    <row r="357" spans="26:30" x14ac:dyDescent="0.25">
      <c r="Z357" s="110"/>
      <c r="AD357" s="49"/>
    </row>
    <row r="358" spans="26:30" x14ac:dyDescent="0.25">
      <c r="Z358" s="110"/>
      <c r="AD358" s="49"/>
    </row>
    <row r="359" spans="26:30" x14ac:dyDescent="0.25">
      <c r="Z359" s="110"/>
      <c r="AD359" s="49"/>
    </row>
    <row r="360" spans="26:30" x14ac:dyDescent="0.25">
      <c r="Z360" s="110"/>
      <c r="AD360" s="49"/>
    </row>
    <row r="361" spans="26:30" x14ac:dyDescent="0.25">
      <c r="Z361" s="110"/>
      <c r="AD361" s="49"/>
    </row>
    <row r="362" spans="26:30" x14ac:dyDescent="0.25">
      <c r="Z362" s="110"/>
      <c r="AD362" s="49"/>
    </row>
    <row r="363" spans="26:30" x14ac:dyDescent="0.25">
      <c r="Z363" s="110"/>
      <c r="AD363" s="49"/>
    </row>
    <row r="364" spans="26:30" x14ac:dyDescent="0.25">
      <c r="Z364" s="110"/>
      <c r="AD364" s="49"/>
    </row>
    <row r="365" spans="26:30" x14ac:dyDescent="0.25">
      <c r="Z365" s="110"/>
      <c r="AD365" s="49"/>
    </row>
    <row r="366" spans="26:30" x14ac:dyDescent="0.25">
      <c r="Z366" s="110"/>
      <c r="AD366" s="49"/>
    </row>
    <row r="367" spans="26:30" x14ac:dyDescent="0.25">
      <c r="Z367" s="110"/>
      <c r="AD367" s="49"/>
    </row>
    <row r="368" spans="26:30" x14ac:dyDescent="0.25">
      <c r="Z368" s="110"/>
      <c r="AD368" s="49"/>
    </row>
    <row r="369" spans="26:30" x14ac:dyDescent="0.25">
      <c r="Z369" s="110"/>
      <c r="AD369" s="49"/>
    </row>
    <row r="370" spans="26:30" x14ac:dyDescent="0.25">
      <c r="Z370" s="110"/>
      <c r="AD370" s="49"/>
    </row>
    <row r="371" spans="26:30" x14ac:dyDescent="0.25">
      <c r="Z371" s="110"/>
      <c r="AD371" s="49"/>
    </row>
    <row r="372" spans="26:30" x14ac:dyDescent="0.25">
      <c r="Z372" s="110"/>
      <c r="AD372" s="49"/>
    </row>
    <row r="373" spans="26:30" x14ac:dyDescent="0.25">
      <c r="Z373" s="110"/>
      <c r="AD373" s="49"/>
    </row>
    <row r="374" spans="26:30" x14ac:dyDescent="0.25">
      <c r="Z374" s="110"/>
      <c r="AD374" s="49"/>
    </row>
    <row r="375" spans="26:30" x14ac:dyDescent="0.25">
      <c r="Z375" s="110"/>
      <c r="AD375" s="49"/>
    </row>
    <row r="376" spans="26:30" x14ac:dyDescent="0.25">
      <c r="Z376" s="110"/>
      <c r="AD376" s="49"/>
    </row>
    <row r="377" spans="26:30" x14ac:dyDescent="0.25">
      <c r="Z377" s="110"/>
      <c r="AD377" s="49"/>
    </row>
    <row r="378" spans="26:30" x14ac:dyDescent="0.25">
      <c r="Z378" s="110"/>
      <c r="AD378" s="49"/>
    </row>
    <row r="379" spans="26:30" x14ac:dyDescent="0.25">
      <c r="Z379" s="110"/>
      <c r="AD379" s="49"/>
    </row>
    <row r="380" spans="26:30" x14ac:dyDescent="0.25">
      <c r="Z380" s="110"/>
      <c r="AD380" s="49"/>
    </row>
    <row r="381" spans="26:30" x14ac:dyDescent="0.25">
      <c r="Z381" s="110"/>
      <c r="AD381" s="49"/>
    </row>
    <row r="382" spans="26:30" x14ac:dyDescent="0.25">
      <c r="Z382" s="110"/>
      <c r="AD382" s="49"/>
    </row>
    <row r="383" spans="26:30" x14ac:dyDescent="0.25">
      <c r="Z383" s="110"/>
      <c r="AD383" s="49"/>
    </row>
    <row r="384" spans="26:30" x14ac:dyDescent="0.25">
      <c r="Z384" s="110"/>
      <c r="AD384" s="49"/>
    </row>
    <row r="385" spans="26:30" x14ac:dyDescent="0.25">
      <c r="Z385" s="110"/>
      <c r="AD385" s="49"/>
    </row>
    <row r="386" spans="26:30" x14ac:dyDescent="0.25">
      <c r="Z386" s="110"/>
      <c r="AD386" s="49"/>
    </row>
    <row r="387" spans="26:30" x14ac:dyDescent="0.25">
      <c r="Z387" s="110"/>
      <c r="AD387" s="49"/>
    </row>
    <row r="388" spans="26:30" x14ac:dyDescent="0.25">
      <c r="Z388" s="110"/>
      <c r="AD388" s="49"/>
    </row>
    <row r="389" spans="26:30" x14ac:dyDescent="0.25">
      <c r="Z389" s="110"/>
      <c r="AD389" s="49"/>
    </row>
    <row r="390" spans="26:30" x14ac:dyDescent="0.25">
      <c r="Z390" s="110"/>
      <c r="AD390" s="49"/>
    </row>
    <row r="391" spans="26:30" x14ac:dyDescent="0.25">
      <c r="Z391" s="110"/>
      <c r="AD391" s="49"/>
    </row>
    <row r="392" spans="26:30" x14ac:dyDescent="0.25">
      <c r="Z392" s="110"/>
      <c r="AD392" s="49"/>
    </row>
    <row r="393" spans="26:30" x14ac:dyDescent="0.25">
      <c r="Z393" s="110"/>
      <c r="AD393" s="49"/>
    </row>
    <row r="394" spans="26:30" x14ac:dyDescent="0.25">
      <c r="Z394" s="110"/>
      <c r="AD394" s="49"/>
    </row>
    <row r="395" spans="26:30" x14ac:dyDescent="0.25">
      <c r="Z395" s="110"/>
      <c r="AD395" s="49"/>
    </row>
    <row r="396" spans="26:30" x14ac:dyDescent="0.25">
      <c r="Z396" s="110"/>
      <c r="AD396" s="49"/>
    </row>
    <row r="397" spans="26:30" x14ac:dyDescent="0.25">
      <c r="Z397" s="110"/>
      <c r="AD397" s="49"/>
    </row>
    <row r="398" spans="26:30" x14ac:dyDescent="0.25">
      <c r="Z398" s="110"/>
      <c r="AD398" s="49"/>
    </row>
    <row r="399" spans="26:30" x14ac:dyDescent="0.25">
      <c r="Z399" s="110"/>
      <c r="AD399" s="49"/>
    </row>
    <row r="400" spans="26:30" x14ac:dyDescent="0.25">
      <c r="Z400" s="110"/>
      <c r="AD400" s="49"/>
    </row>
    <row r="401" spans="26:30" x14ac:dyDescent="0.25">
      <c r="Z401" s="110"/>
      <c r="AD401" s="49"/>
    </row>
    <row r="402" spans="26:30" x14ac:dyDescent="0.25">
      <c r="Z402" s="110"/>
      <c r="AD402" s="49"/>
    </row>
    <row r="403" spans="26:30" x14ac:dyDescent="0.25">
      <c r="Z403" s="110"/>
      <c r="AD403" s="49"/>
    </row>
    <row r="404" spans="26:30" x14ac:dyDescent="0.25">
      <c r="Z404" s="110"/>
      <c r="AD404" s="49"/>
    </row>
    <row r="405" spans="26:30" x14ac:dyDescent="0.25">
      <c r="Z405" s="110"/>
      <c r="AD405" s="49"/>
    </row>
    <row r="406" spans="26:30" x14ac:dyDescent="0.25">
      <c r="Z406" s="110"/>
      <c r="AD406" s="49"/>
    </row>
    <row r="407" spans="26:30" x14ac:dyDescent="0.25">
      <c r="Z407" s="110"/>
      <c r="AD407" s="49"/>
    </row>
    <row r="408" spans="26:30" x14ac:dyDescent="0.25">
      <c r="Z408" s="110"/>
      <c r="AD408" s="49"/>
    </row>
    <row r="409" spans="26:30" x14ac:dyDescent="0.25">
      <c r="Z409" s="110"/>
      <c r="AD409" s="49"/>
    </row>
    <row r="410" spans="26:30" x14ac:dyDescent="0.25">
      <c r="Z410" s="110"/>
      <c r="AD410" s="49"/>
    </row>
    <row r="411" spans="26:30" x14ac:dyDescent="0.25">
      <c r="Z411" s="110"/>
      <c r="AD411" s="49"/>
    </row>
    <row r="412" spans="26:30" x14ac:dyDescent="0.25">
      <c r="Z412" s="110"/>
      <c r="AD412" s="49"/>
    </row>
    <row r="413" spans="26:30" x14ac:dyDescent="0.25">
      <c r="Z413" s="110"/>
      <c r="AD413" s="49"/>
    </row>
    <row r="414" spans="26:30" x14ac:dyDescent="0.25">
      <c r="Z414" s="110"/>
      <c r="AD414" s="49"/>
    </row>
    <row r="415" spans="26:30" x14ac:dyDescent="0.25">
      <c r="Z415" s="110"/>
      <c r="AD415" s="49"/>
    </row>
    <row r="416" spans="26:30" x14ac:dyDescent="0.25">
      <c r="Z416" s="110"/>
      <c r="AD416" s="49"/>
    </row>
    <row r="417" spans="26:30" x14ac:dyDescent="0.25">
      <c r="Z417" s="110"/>
      <c r="AD417" s="49"/>
    </row>
    <row r="418" spans="26:30" x14ac:dyDescent="0.25">
      <c r="Z418" s="110"/>
      <c r="AD418" s="49"/>
    </row>
    <row r="419" spans="26:30" x14ac:dyDescent="0.25">
      <c r="Z419" s="110"/>
      <c r="AD419" s="49"/>
    </row>
    <row r="420" spans="26:30" x14ac:dyDescent="0.25">
      <c r="Z420" s="110"/>
      <c r="AD420" s="49"/>
    </row>
    <row r="421" spans="26:30" x14ac:dyDescent="0.25">
      <c r="Z421" s="110"/>
      <c r="AD421" s="49"/>
    </row>
    <row r="422" spans="26:30" x14ac:dyDescent="0.25">
      <c r="Z422" s="110"/>
      <c r="AD422" s="49"/>
    </row>
    <row r="423" spans="26:30" x14ac:dyDescent="0.25">
      <c r="Z423" s="110"/>
      <c r="AD423" s="49"/>
    </row>
    <row r="424" spans="26:30" x14ac:dyDescent="0.25">
      <c r="Z424" s="110"/>
      <c r="AD424" s="49"/>
    </row>
    <row r="425" spans="26:30" x14ac:dyDescent="0.25">
      <c r="Z425" s="110"/>
      <c r="AD425" s="49"/>
    </row>
    <row r="426" spans="26:30" x14ac:dyDescent="0.25">
      <c r="Z426" s="110"/>
      <c r="AD426" s="49"/>
    </row>
    <row r="427" spans="26:30" x14ac:dyDescent="0.25">
      <c r="Z427" s="110"/>
      <c r="AD427" s="49"/>
    </row>
    <row r="428" spans="26:30" x14ac:dyDescent="0.25">
      <c r="Z428" s="110"/>
      <c r="AD428" s="49"/>
    </row>
    <row r="429" spans="26:30" x14ac:dyDescent="0.25">
      <c r="Z429" s="110"/>
      <c r="AD429" s="49"/>
    </row>
    <row r="430" spans="26:30" x14ac:dyDescent="0.25">
      <c r="Z430" s="110"/>
      <c r="AD430" s="49"/>
    </row>
    <row r="431" spans="26:30" x14ac:dyDescent="0.25">
      <c r="Z431" s="110"/>
      <c r="AD431" s="49"/>
    </row>
    <row r="432" spans="26:30" x14ac:dyDescent="0.25">
      <c r="Z432" s="110"/>
      <c r="AD432" s="49"/>
    </row>
    <row r="433" spans="26:30" x14ac:dyDescent="0.25">
      <c r="Z433" s="110"/>
      <c r="AD433" s="49"/>
    </row>
    <row r="434" spans="26:30" x14ac:dyDescent="0.25">
      <c r="Z434" s="110"/>
      <c r="AD434" s="49"/>
    </row>
    <row r="435" spans="26:30" x14ac:dyDescent="0.25">
      <c r="Z435" s="110"/>
      <c r="AD435" s="49"/>
    </row>
    <row r="436" spans="26:30" x14ac:dyDescent="0.25">
      <c r="Z436" s="110"/>
      <c r="AD436" s="49"/>
    </row>
    <row r="437" spans="26:30" x14ac:dyDescent="0.25">
      <c r="Z437" s="110"/>
      <c r="AD437" s="49"/>
    </row>
    <row r="438" spans="26:30" x14ac:dyDescent="0.25">
      <c r="Z438" s="110"/>
      <c r="AD438" s="49"/>
    </row>
    <row r="439" spans="26:30" x14ac:dyDescent="0.25">
      <c r="Z439" s="110"/>
      <c r="AD439" s="49"/>
    </row>
    <row r="440" spans="26:30" x14ac:dyDescent="0.25">
      <c r="Z440" s="110"/>
      <c r="AD440" s="49"/>
    </row>
    <row r="441" spans="26:30" x14ac:dyDescent="0.25">
      <c r="Z441" s="110"/>
      <c r="AD441" s="49"/>
    </row>
    <row r="442" spans="26:30" x14ac:dyDescent="0.25">
      <c r="Z442" s="110"/>
      <c r="AD442" s="49"/>
    </row>
    <row r="443" spans="26:30" x14ac:dyDescent="0.25">
      <c r="Z443" s="110"/>
      <c r="AD443" s="49"/>
    </row>
    <row r="444" spans="26:30" x14ac:dyDescent="0.25">
      <c r="Z444" s="110"/>
      <c r="AD444" s="49"/>
    </row>
    <row r="445" spans="26:30" x14ac:dyDescent="0.25">
      <c r="Z445" s="110"/>
      <c r="AD445" s="49"/>
    </row>
    <row r="446" spans="26:30" x14ac:dyDescent="0.25">
      <c r="Z446" s="110"/>
      <c r="AD446" s="49"/>
    </row>
    <row r="447" spans="26:30" x14ac:dyDescent="0.25">
      <c r="Z447" s="110"/>
      <c r="AD447" s="49"/>
    </row>
    <row r="448" spans="26:30" x14ac:dyDescent="0.25">
      <c r="Z448" s="110"/>
      <c r="AD448" s="49"/>
    </row>
    <row r="449" spans="26:30" x14ac:dyDescent="0.25">
      <c r="Z449" s="110"/>
      <c r="AD449" s="49"/>
    </row>
    <row r="450" spans="26:30" x14ac:dyDescent="0.25">
      <c r="Z450" s="110"/>
      <c r="AD450" s="49"/>
    </row>
    <row r="451" spans="26:30" x14ac:dyDescent="0.25">
      <c r="Z451" s="110"/>
      <c r="AD451" s="49"/>
    </row>
    <row r="452" spans="26:30" x14ac:dyDescent="0.25">
      <c r="Z452" s="110"/>
      <c r="AD452" s="49"/>
    </row>
    <row r="453" spans="26:30" x14ac:dyDescent="0.25">
      <c r="Z453" s="110"/>
      <c r="AD453" s="49"/>
    </row>
    <row r="454" spans="26:30" x14ac:dyDescent="0.25">
      <c r="Z454" s="110"/>
      <c r="AD454" s="49"/>
    </row>
    <row r="455" spans="26:30" x14ac:dyDescent="0.25">
      <c r="Z455" s="110"/>
      <c r="AD455" s="49"/>
    </row>
    <row r="456" spans="26:30" x14ac:dyDescent="0.25">
      <c r="Z456" s="110"/>
      <c r="AD456" s="49"/>
    </row>
    <row r="457" spans="26:30" x14ac:dyDescent="0.25">
      <c r="Z457" s="110"/>
      <c r="AD457" s="49"/>
    </row>
    <row r="458" spans="26:30" x14ac:dyDescent="0.25">
      <c r="Z458" s="110"/>
      <c r="AD458" s="49"/>
    </row>
    <row r="459" spans="26:30" x14ac:dyDescent="0.25">
      <c r="Z459" s="110"/>
      <c r="AD459" s="49"/>
    </row>
    <row r="460" spans="26:30" x14ac:dyDescent="0.25">
      <c r="Z460" s="110"/>
      <c r="AD460" s="49"/>
    </row>
    <row r="461" spans="26:30" x14ac:dyDescent="0.25">
      <c r="Z461" s="110"/>
      <c r="AD461" s="49"/>
    </row>
    <row r="462" spans="26:30" x14ac:dyDescent="0.25">
      <c r="Z462" s="110"/>
      <c r="AD462" s="49"/>
    </row>
    <row r="463" spans="26:30" x14ac:dyDescent="0.25">
      <c r="Z463" s="110"/>
      <c r="AD463" s="49"/>
    </row>
    <row r="464" spans="26:30" x14ac:dyDescent="0.25">
      <c r="Z464" s="110"/>
      <c r="AD464" s="49"/>
    </row>
    <row r="465" spans="26:30" x14ac:dyDescent="0.25">
      <c r="Z465" s="110"/>
      <c r="AD465" s="49"/>
    </row>
    <row r="466" spans="26:30" x14ac:dyDescent="0.25">
      <c r="Z466" s="110"/>
      <c r="AD466" s="49"/>
    </row>
    <row r="467" spans="26:30" x14ac:dyDescent="0.25">
      <c r="Z467" s="110"/>
      <c r="AD467" s="49"/>
    </row>
    <row r="468" spans="26:30" x14ac:dyDescent="0.25">
      <c r="Z468" s="110"/>
      <c r="AD468" s="49"/>
    </row>
    <row r="469" spans="26:30" x14ac:dyDescent="0.25">
      <c r="Z469" s="110"/>
      <c r="AD469" s="49"/>
    </row>
    <row r="470" spans="26:30" x14ac:dyDescent="0.25">
      <c r="Z470" s="110"/>
      <c r="AD470" s="49"/>
    </row>
    <row r="471" spans="26:30" x14ac:dyDescent="0.25">
      <c r="Z471" s="110"/>
      <c r="AD471" s="49"/>
    </row>
    <row r="472" spans="26:30" x14ac:dyDescent="0.25">
      <c r="Z472" s="110"/>
      <c r="AD472" s="49"/>
    </row>
    <row r="473" spans="26:30" x14ac:dyDescent="0.25">
      <c r="Z473" s="110"/>
      <c r="AD473" s="49"/>
    </row>
    <row r="474" spans="26:30" x14ac:dyDescent="0.25">
      <c r="Z474" s="110"/>
      <c r="AD474" s="49"/>
    </row>
    <row r="475" spans="26:30" x14ac:dyDescent="0.25">
      <c r="Z475" s="110"/>
      <c r="AD475" s="49"/>
    </row>
    <row r="476" spans="26:30" x14ac:dyDescent="0.25">
      <c r="Z476" s="110"/>
      <c r="AD476" s="49"/>
    </row>
    <row r="477" spans="26:30" x14ac:dyDescent="0.25">
      <c r="Z477" s="110"/>
      <c r="AD477" s="49"/>
    </row>
    <row r="478" spans="26:30" x14ac:dyDescent="0.25">
      <c r="Z478" s="110"/>
      <c r="AD478" s="49"/>
    </row>
    <row r="479" spans="26:30" x14ac:dyDescent="0.25">
      <c r="Z479" s="110"/>
      <c r="AD479" s="49"/>
    </row>
    <row r="480" spans="26:30" x14ac:dyDescent="0.25">
      <c r="Z480" s="110"/>
      <c r="AD480" s="49"/>
    </row>
    <row r="481" spans="26:30" x14ac:dyDescent="0.25">
      <c r="Z481" s="110"/>
      <c r="AD481" s="49"/>
    </row>
    <row r="482" spans="26:30" x14ac:dyDescent="0.25">
      <c r="Z482" s="110"/>
      <c r="AD482" s="49"/>
    </row>
    <row r="483" spans="26:30" x14ac:dyDescent="0.25">
      <c r="Z483" s="110"/>
      <c r="AD483" s="49"/>
    </row>
    <row r="484" spans="26:30" x14ac:dyDescent="0.25">
      <c r="Z484" s="110"/>
      <c r="AD484" s="49"/>
    </row>
    <row r="485" spans="26:30" x14ac:dyDescent="0.25">
      <c r="Z485" s="110"/>
      <c r="AD485" s="49"/>
    </row>
    <row r="486" spans="26:30" x14ac:dyDescent="0.25">
      <c r="Z486" s="110"/>
      <c r="AD486" s="49"/>
    </row>
    <row r="487" spans="26:30" x14ac:dyDescent="0.25">
      <c r="Z487" s="110"/>
      <c r="AD487" s="49"/>
    </row>
    <row r="488" spans="26:30" x14ac:dyDescent="0.25">
      <c r="Z488" s="110"/>
      <c r="AD488" s="49"/>
    </row>
    <row r="489" spans="26:30" x14ac:dyDescent="0.25">
      <c r="Z489" s="110"/>
      <c r="AD489" s="49"/>
    </row>
    <row r="490" spans="26:30" x14ac:dyDescent="0.25">
      <c r="Z490" s="110"/>
      <c r="AD490" s="49"/>
    </row>
    <row r="491" spans="26:30" x14ac:dyDescent="0.25">
      <c r="Z491" s="110"/>
      <c r="AD491" s="49"/>
    </row>
    <row r="492" spans="26:30" x14ac:dyDescent="0.25">
      <c r="Z492" s="110"/>
      <c r="AD492" s="49"/>
    </row>
    <row r="493" spans="26:30" x14ac:dyDescent="0.25">
      <c r="Z493" s="110"/>
      <c r="AD493" s="49"/>
    </row>
    <row r="494" spans="26:30" x14ac:dyDescent="0.25">
      <c r="Z494" s="110"/>
      <c r="AD494" s="49"/>
    </row>
    <row r="495" spans="26:30" x14ac:dyDescent="0.25">
      <c r="Z495" s="110"/>
      <c r="AD495" s="49"/>
    </row>
    <row r="496" spans="26:30" x14ac:dyDescent="0.25">
      <c r="Z496" s="110"/>
      <c r="AD496" s="49"/>
    </row>
  </sheetData>
  <sheetProtection algorithmName="SHA-512" hashValue="SExPr+4gokZ4CuvDipTtZSIYLclemqKw1ofHVFYgrTG/i8V1nNTOFLquXI25ocz3qMod5R+xoUkGTVqsma3WXQ==" saltValue="0JkynG+JcqKxCcT4fjCPjw==" spinCount="100000" sheet="1" objects="1" scenarios="1" selectLockedCells="1" selectUnlockedCells="1"/>
  <mergeCells count="11">
    <mergeCell ref="L3:AF5"/>
    <mergeCell ref="I4:I5"/>
    <mergeCell ref="K4:K5"/>
    <mergeCell ref="A3:A5"/>
    <mergeCell ref="B3:B5"/>
    <mergeCell ref="C3:C5"/>
    <mergeCell ref="D3:F3"/>
    <mergeCell ref="G3:H3"/>
    <mergeCell ref="D4:F4"/>
    <mergeCell ref="G4:G5"/>
    <mergeCell ref="H4:H5"/>
  </mergeCells>
  <pageMargins left="0.78740157480314965" right="0.39370078740157483" top="0.59055118110236227" bottom="0.59055118110236227" header="0.31496062992125984" footer="0.31496062992125984"/>
  <pageSetup paperSize="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1321-5025-4EF6-84DA-9E5EA7409B64}">
  <sheetPr>
    <tabColor rgb="FF92D050"/>
  </sheetPr>
  <dimension ref="A1:Z99"/>
  <sheetViews>
    <sheetView showGridLines="0" showRowColHeaders="0" zoomScale="90" zoomScaleNormal="90" zoomScaleSheetLayoutView="80" workbookViewId="0">
      <pane ySplit="6" topLeftCell="A7" activePane="bottomLeft" state="frozen"/>
      <selection pane="bottomLeft" sqref="A1:CH261"/>
    </sheetView>
  </sheetViews>
  <sheetFormatPr defaultColWidth="9.140625" defaultRowHeight="15.75" outlineLevelCol="1" x14ac:dyDescent="0.25"/>
  <cols>
    <col min="1" max="1" width="12.7109375" style="247" customWidth="1"/>
    <col min="2" max="2" width="106.7109375" style="247" customWidth="1"/>
    <col min="3" max="3" width="7.28515625" style="248" hidden="1" customWidth="1"/>
    <col min="4" max="4" width="7.5703125" style="248" hidden="1" customWidth="1" outlineLevel="1"/>
    <col min="5" max="5" width="5.7109375" style="248" hidden="1" customWidth="1" outlineLevel="1"/>
    <col min="6" max="6" width="6.42578125" style="248" hidden="1" customWidth="1" outlineLevel="1"/>
    <col min="7" max="7" width="7.28515625" style="248" hidden="1" customWidth="1" outlineLevel="1"/>
    <col min="8" max="8" width="7.140625" style="248" hidden="1" customWidth="1" outlineLevel="1"/>
    <col min="9" max="9" width="3.7109375" style="248" hidden="1" customWidth="1" collapsed="1"/>
    <col min="10" max="10" width="1.140625" style="248" hidden="1" customWidth="1"/>
    <col min="11" max="11" width="34.85546875" style="248" hidden="1" customWidth="1"/>
    <col min="12" max="12" width="0.140625" style="248" hidden="1" customWidth="1"/>
    <col min="13" max="13" width="8.140625" style="249" hidden="1" customWidth="1"/>
    <col min="14" max="14" width="7.5703125" style="250" hidden="1" customWidth="1"/>
    <col min="15" max="15" width="6.42578125" style="251" hidden="1" customWidth="1"/>
    <col min="16" max="16" width="5.28515625" style="251" hidden="1" customWidth="1" outlineLevel="1"/>
    <col min="17" max="17" width="4.85546875" style="248" hidden="1" customWidth="1" collapsed="1"/>
    <col min="18" max="18" width="7.28515625" style="248" hidden="1" customWidth="1"/>
    <col min="19" max="19" width="6.28515625" style="248" hidden="1" customWidth="1"/>
    <col min="20" max="20" width="6.85546875" style="248" hidden="1" customWidth="1"/>
    <col min="21" max="21" width="8.7109375" style="248" hidden="1" customWidth="1"/>
    <col min="22" max="22" width="7" style="248" hidden="1" customWidth="1"/>
    <col min="23" max="23" width="8.140625" style="248" hidden="1" customWidth="1"/>
    <col min="24" max="24" width="3.5703125" style="248" hidden="1" customWidth="1" outlineLevel="1"/>
    <col min="25" max="25" width="5.28515625" style="248" hidden="1" customWidth="1" outlineLevel="1"/>
    <col min="26" max="26" width="13.42578125" style="178" customWidth="1" collapsed="1"/>
    <col min="27" max="16384" width="9.140625" style="173"/>
  </cols>
  <sheetData>
    <row r="1" spans="1:26" s="36" customFormat="1" x14ac:dyDescent="0.25">
      <c r="A1" s="260"/>
      <c r="B1" s="253"/>
      <c r="O1" s="31"/>
      <c r="P1" s="31"/>
      <c r="Q1" s="31"/>
      <c r="R1" s="31"/>
      <c r="S1" s="31"/>
      <c r="T1" s="31"/>
      <c r="U1" s="31"/>
      <c r="V1" s="31"/>
      <c r="W1" s="31"/>
      <c r="X1" s="31"/>
      <c r="Y1" s="31"/>
      <c r="Z1" s="35"/>
    </row>
    <row r="2" spans="1:26" s="36" customFormat="1" x14ac:dyDescent="0.25">
      <c r="A2" s="260"/>
      <c r="B2" s="254"/>
      <c r="C2" s="252"/>
      <c r="D2" s="252"/>
      <c r="E2" s="252"/>
      <c r="F2" s="252"/>
      <c r="G2" s="252"/>
      <c r="H2" s="252"/>
      <c r="K2" s="255"/>
      <c r="L2" s="255"/>
      <c r="M2" s="256">
        <f>'[1]Kontroliniai dydžiai '!Q6</f>
        <v>17638.157439999995</v>
      </c>
      <c r="N2" s="257"/>
      <c r="O2" s="258">
        <f>M2-M7</f>
        <v>-72.042560000005324</v>
      </c>
      <c r="P2" s="31"/>
      <c r="Q2" s="31"/>
      <c r="R2" s="31"/>
      <c r="S2" s="31"/>
      <c r="T2" s="31"/>
      <c r="U2" s="31"/>
      <c r="V2" s="31"/>
      <c r="W2" s="31"/>
      <c r="X2" s="31"/>
      <c r="Y2" s="31"/>
      <c r="Z2" s="35" t="s">
        <v>0</v>
      </c>
    </row>
    <row r="3" spans="1:26" s="35" customFormat="1" x14ac:dyDescent="0.25">
      <c r="A3" s="344" t="s">
        <v>111</v>
      </c>
      <c r="B3" s="344" t="s">
        <v>112</v>
      </c>
      <c r="C3" s="352" t="s">
        <v>329</v>
      </c>
      <c r="D3" s="353"/>
      <c r="E3" s="353"/>
      <c r="F3" s="353"/>
      <c r="G3" s="353"/>
      <c r="H3" s="353"/>
      <c r="I3" s="165"/>
      <c r="J3" s="166"/>
      <c r="K3" s="352" t="s">
        <v>785</v>
      </c>
      <c r="L3" s="352"/>
      <c r="M3" s="352"/>
      <c r="N3" s="352"/>
      <c r="O3" s="352"/>
      <c r="P3" s="352"/>
      <c r="Q3" s="352"/>
      <c r="R3" s="352"/>
      <c r="S3" s="352"/>
      <c r="T3" s="352"/>
      <c r="U3" s="352"/>
      <c r="V3" s="352"/>
      <c r="W3" s="352"/>
      <c r="X3" s="352"/>
      <c r="Y3" s="352"/>
      <c r="Z3" s="352"/>
    </row>
    <row r="4" spans="1:26" s="35" customFormat="1" x14ac:dyDescent="0.25">
      <c r="A4" s="344"/>
      <c r="B4" s="344"/>
      <c r="C4" s="352"/>
      <c r="D4" s="353" t="s">
        <v>114</v>
      </c>
      <c r="E4" s="353"/>
      <c r="F4" s="353"/>
      <c r="G4" s="353" t="s">
        <v>115</v>
      </c>
      <c r="H4" s="353" t="s">
        <v>116</v>
      </c>
      <c r="I4" s="354"/>
      <c r="J4" s="166"/>
      <c r="K4" s="352"/>
      <c r="L4" s="352"/>
      <c r="M4" s="352"/>
      <c r="N4" s="352"/>
      <c r="O4" s="352"/>
      <c r="P4" s="352"/>
      <c r="Q4" s="352"/>
      <c r="R4" s="352"/>
      <c r="S4" s="352"/>
      <c r="T4" s="352"/>
      <c r="U4" s="352"/>
      <c r="V4" s="352"/>
      <c r="W4" s="352"/>
      <c r="X4" s="352"/>
      <c r="Y4" s="352"/>
      <c r="Z4" s="352"/>
    </row>
    <row r="5" spans="1:26" s="35" customFormat="1" ht="19.5" customHeight="1" x14ac:dyDescent="0.25">
      <c r="A5" s="344"/>
      <c r="B5" s="344"/>
      <c r="C5" s="352"/>
      <c r="D5" s="167" t="s">
        <v>117</v>
      </c>
      <c r="E5" s="167" t="s">
        <v>118</v>
      </c>
      <c r="F5" s="167" t="s">
        <v>119</v>
      </c>
      <c r="G5" s="353"/>
      <c r="H5" s="353"/>
      <c r="I5" s="354"/>
      <c r="J5" s="166"/>
      <c r="K5" s="352"/>
      <c r="L5" s="352"/>
      <c r="M5" s="352"/>
      <c r="N5" s="352"/>
      <c r="O5" s="352"/>
      <c r="P5" s="352"/>
      <c r="Q5" s="352"/>
      <c r="R5" s="352"/>
      <c r="S5" s="352"/>
      <c r="T5" s="352"/>
      <c r="U5" s="352"/>
      <c r="V5" s="352"/>
      <c r="W5" s="352"/>
      <c r="X5" s="352"/>
      <c r="Y5" s="352"/>
      <c r="Z5" s="352"/>
    </row>
    <row r="6" spans="1:26" s="35" customFormat="1" ht="31.5" x14ac:dyDescent="0.25">
      <c r="A6" s="33">
        <v>1</v>
      </c>
      <c r="B6" s="32">
        <v>2</v>
      </c>
      <c r="C6" s="32">
        <v>3</v>
      </c>
      <c r="D6" s="32" t="s">
        <v>120</v>
      </c>
      <c r="E6" s="32" t="s">
        <v>121</v>
      </c>
      <c r="F6" s="32" t="s">
        <v>122</v>
      </c>
      <c r="G6" s="34">
        <v>4</v>
      </c>
      <c r="H6" s="34" t="s">
        <v>123</v>
      </c>
      <c r="I6" s="34">
        <v>5</v>
      </c>
      <c r="J6" s="34">
        <v>6</v>
      </c>
      <c r="K6" s="34">
        <v>7</v>
      </c>
      <c r="L6" s="168"/>
      <c r="M6" s="46">
        <v>8</v>
      </c>
      <c r="N6" s="169" t="s">
        <v>124</v>
      </c>
      <c r="O6" s="32">
        <v>9</v>
      </c>
      <c r="P6" s="32" t="s">
        <v>125</v>
      </c>
      <c r="Q6" s="32">
        <v>10</v>
      </c>
      <c r="R6" s="32">
        <v>11</v>
      </c>
      <c r="S6" s="32">
        <v>12</v>
      </c>
      <c r="T6" s="32">
        <v>13</v>
      </c>
      <c r="U6" s="32" t="s">
        <v>126</v>
      </c>
      <c r="V6" s="32">
        <v>14</v>
      </c>
      <c r="W6" s="32">
        <v>15</v>
      </c>
      <c r="X6" s="32" t="s">
        <v>127</v>
      </c>
      <c r="Y6" s="32">
        <v>0</v>
      </c>
      <c r="Z6" s="32">
        <v>3</v>
      </c>
    </row>
    <row r="7" spans="1:26" ht="21" customHeight="1" x14ac:dyDescent="0.25">
      <c r="A7" s="170" t="s">
        <v>330</v>
      </c>
      <c r="B7" s="170" t="s">
        <v>331</v>
      </c>
      <c r="C7" s="171">
        <f t="shared" ref="C7:J7" si="0">C8+C79</f>
        <v>27694</v>
      </c>
      <c r="D7" s="171">
        <f t="shared" si="0"/>
        <v>16507.3</v>
      </c>
      <c r="E7" s="171">
        <f t="shared" si="0"/>
        <v>289.5</v>
      </c>
      <c r="F7" s="171">
        <f t="shared" si="0"/>
        <v>4111.7000000000007</v>
      </c>
      <c r="G7" s="171">
        <f t="shared" si="0"/>
        <v>29710.9</v>
      </c>
      <c r="H7" s="171">
        <f t="shared" si="0"/>
        <v>27218.699999999997</v>
      </c>
      <c r="I7" s="171">
        <f t="shared" si="0"/>
        <v>0</v>
      </c>
      <c r="J7" s="171">
        <f t="shared" si="0"/>
        <v>0</v>
      </c>
      <c r="K7" s="171"/>
      <c r="L7" s="171">
        <f t="shared" ref="L7:Z7" si="1">L8+L79</f>
        <v>0</v>
      </c>
      <c r="M7" s="171">
        <f>M8+M79</f>
        <v>17710.2</v>
      </c>
      <c r="N7" s="172">
        <f t="shared" si="1"/>
        <v>-2908.7999999999988</v>
      </c>
      <c r="O7" s="171">
        <f t="shared" si="1"/>
        <v>471.5</v>
      </c>
      <c r="P7" s="171">
        <f t="shared" si="1"/>
        <v>0</v>
      </c>
      <c r="Q7" s="171">
        <f t="shared" si="1"/>
        <v>0</v>
      </c>
      <c r="R7" s="171">
        <f t="shared" si="1"/>
        <v>7523.4</v>
      </c>
      <c r="S7" s="171">
        <f>S8+S79</f>
        <v>887.30000000000007</v>
      </c>
      <c r="T7" s="171">
        <f t="shared" si="1"/>
        <v>1071.0999999999999</v>
      </c>
      <c r="U7" s="171">
        <f t="shared" si="1"/>
        <v>9481.8000000000011</v>
      </c>
      <c r="V7" s="171">
        <f t="shared" si="1"/>
        <v>38</v>
      </c>
      <c r="W7" s="171">
        <f t="shared" si="1"/>
        <v>5010</v>
      </c>
      <c r="X7" s="171">
        <f t="shared" si="1"/>
        <v>0</v>
      </c>
      <c r="Y7" s="171">
        <f t="shared" si="1"/>
        <v>0</v>
      </c>
      <c r="Z7" s="259">
        <f t="shared" si="1"/>
        <v>32711.5</v>
      </c>
    </row>
    <row r="8" spans="1:26" s="178" customFormat="1" x14ac:dyDescent="0.25">
      <c r="A8" s="261" t="s">
        <v>332</v>
      </c>
      <c r="B8" s="174" t="s">
        <v>333</v>
      </c>
      <c r="C8" s="175">
        <f t="shared" ref="C8:J8" si="2">C9+C26+C32+C51+C71</f>
        <v>16758.5</v>
      </c>
      <c r="D8" s="175">
        <f t="shared" si="2"/>
        <v>9177</v>
      </c>
      <c r="E8" s="175">
        <f t="shared" si="2"/>
        <v>39.5</v>
      </c>
      <c r="F8" s="175">
        <f t="shared" si="2"/>
        <v>941.2</v>
      </c>
      <c r="G8" s="175">
        <f t="shared" si="2"/>
        <v>18196.100000000002</v>
      </c>
      <c r="H8" s="175">
        <f t="shared" si="2"/>
        <v>16859.199999999997</v>
      </c>
      <c r="I8" s="175">
        <f t="shared" si="2"/>
        <v>0</v>
      </c>
      <c r="J8" s="175">
        <f t="shared" si="2"/>
        <v>0</v>
      </c>
      <c r="K8" s="175"/>
      <c r="L8" s="175">
        <f t="shared" ref="L8:Z8" si="3">L9+L26+L32+L51+L71</f>
        <v>0</v>
      </c>
      <c r="M8" s="176">
        <f>M9+M26+M32+M51+M71</f>
        <v>9816</v>
      </c>
      <c r="N8" s="177">
        <f t="shared" si="3"/>
        <v>-302.2</v>
      </c>
      <c r="O8" s="176">
        <f t="shared" si="3"/>
        <v>21.5</v>
      </c>
      <c r="P8" s="176">
        <f t="shared" si="3"/>
        <v>0</v>
      </c>
      <c r="Q8" s="176">
        <f t="shared" si="3"/>
        <v>0</v>
      </c>
      <c r="R8" s="176">
        <f t="shared" si="3"/>
        <v>7353.9</v>
      </c>
      <c r="S8" s="176">
        <f>S9+S26+S32+S51+S71</f>
        <v>870.80000000000007</v>
      </c>
      <c r="T8" s="176">
        <f t="shared" si="3"/>
        <v>839.2</v>
      </c>
      <c r="U8" s="176">
        <f t="shared" si="3"/>
        <v>9063.9000000000015</v>
      </c>
      <c r="V8" s="176">
        <f t="shared" si="3"/>
        <v>38</v>
      </c>
      <c r="W8" s="176">
        <f t="shared" si="3"/>
        <v>72</v>
      </c>
      <c r="X8" s="176">
        <f t="shared" si="3"/>
        <v>0</v>
      </c>
      <c r="Y8" s="176">
        <f t="shared" si="3"/>
        <v>0</v>
      </c>
      <c r="Z8" s="269">
        <f t="shared" si="3"/>
        <v>19011.400000000001</v>
      </c>
    </row>
    <row r="9" spans="1:26" s="178" customFormat="1" x14ac:dyDescent="0.25">
      <c r="A9" s="179" t="s">
        <v>334</v>
      </c>
      <c r="B9" s="180" t="s">
        <v>335</v>
      </c>
      <c r="C9" s="181">
        <f>C10+C11+C12+C13+C14+C15+C16+C17+C18+C19+C20+C21+C22</f>
        <v>1585.6000000000004</v>
      </c>
      <c r="D9" s="181">
        <f t="shared" ref="D9:F9" si="4">D10+D11+D12+D13+D14+D15+D16+D17+D18+D19+D20+D21+D22</f>
        <v>460.3</v>
      </c>
      <c r="E9" s="181">
        <f t="shared" si="4"/>
        <v>12.5</v>
      </c>
      <c r="F9" s="181">
        <f t="shared" si="4"/>
        <v>303</v>
      </c>
      <c r="G9" s="181">
        <f>G10+G11+G12+G13+G14+G15+G16+G17+G18+G19+G20+G21+G22+G23</f>
        <v>1400.1000000000004</v>
      </c>
      <c r="H9" s="181">
        <f>H10+H11+H12+H13+H14+H15+H16+H17+H18+H19+H20+H21+H22+H23</f>
        <v>1268</v>
      </c>
      <c r="I9" s="181">
        <f t="shared" ref="I9:L9" si="5">I10+I11+I12+I13+I14+I15+I16+I17+I18+I19+I20+I21+I22</f>
        <v>0</v>
      </c>
      <c r="J9" s="181">
        <f t="shared" si="5"/>
        <v>0</v>
      </c>
      <c r="K9" s="181"/>
      <c r="L9" s="181">
        <f t="shared" si="5"/>
        <v>0</v>
      </c>
      <c r="M9" s="182">
        <f>M10+M11+M12+M13+M14+M15+M16+M17+M18+M19+M20+M21+M22+M23+M24+M25</f>
        <v>450.2</v>
      </c>
      <c r="N9" s="183">
        <f>N10+N11+N12+N13+N14+N15+N16+N17+N18+N19+N20+N21+N22+N23+N24+N25</f>
        <v>-313.10000000000002</v>
      </c>
      <c r="O9" s="182">
        <f>O10+O11+O12+O13+O14+O15+O16+O17+O18+O19+O20+O21+O22+O23+O24+O25</f>
        <v>12.5</v>
      </c>
      <c r="P9" s="182">
        <f t="shared" ref="P9:Y9" si="6">P10+P11+P12+P13+P14+P15+P16+P17+P18+P19+P20+P21+P22+P23+P24</f>
        <v>0</v>
      </c>
      <c r="Q9" s="182">
        <f>Q10+Q11+Q12+Q13+Q14+Q15+Q16+Q17+Q18+Q19+Q20+Q21+Q22+Q23+Q24+Q25</f>
        <v>0</v>
      </c>
      <c r="R9" s="182">
        <f>R10+R11+R12+R13+R14+R15+R16+R17+R18+R19+R20+R21+R22+R23+R24+R25</f>
        <v>622.90000000000009</v>
      </c>
      <c r="S9" s="182"/>
      <c r="T9" s="182">
        <f>T10+T11+T12+T13+T14+T15+T16+T17+T18+T19+T20+T21+T22+T23+T24+T25</f>
        <v>715.5</v>
      </c>
      <c r="U9" s="182">
        <f t="shared" ref="U9:U85" si="7">Q9+R9+S9+T9</f>
        <v>1338.4</v>
      </c>
      <c r="V9" s="182">
        <f>V10+V11+V12+V13+V14+V15+V16+V17+V18+V19+V20+V21+V22+V23+V24+V25</f>
        <v>38</v>
      </c>
      <c r="W9" s="182">
        <f>W10+W11+W12+W13+W14+W15+W16+W17+W18+W19+W20+W21+W22+W23+W24+W25</f>
        <v>3</v>
      </c>
      <c r="X9" s="182">
        <f t="shared" si="6"/>
        <v>0</v>
      </c>
      <c r="Y9" s="182">
        <f t="shared" si="6"/>
        <v>0</v>
      </c>
      <c r="Z9" s="270">
        <f t="shared" ref="Z9:Z84" si="8">M9+O9+U9+V9+W9+X9</f>
        <v>1842.1000000000001</v>
      </c>
    </row>
    <row r="10" spans="1:26" s="178" customFormat="1" ht="31.5" x14ac:dyDescent="0.25">
      <c r="A10" s="262" t="s">
        <v>336</v>
      </c>
      <c r="B10" s="184" t="s">
        <v>337</v>
      </c>
      <c r="C10" s="185">
        <v>147.69999999999999</v>
      </c>
      <c r="D10" s="186"/>
      <c r="E10" s="186">
        <v>4.5</v>
      </c>
      <c r="F10" s="186">
        <v>3</v>
      </c>
      <c r="G10" s="186">
        <v>150.80000000000001</v>
      </c>
      <c r="H10" s="186">
        <v>149.4</v>
      </c>
      <c r="I10" s="186"/>
      <c r="J10" s="187"/>
      <c r="K10" s="188"/>
      <c r="L10" s="189"/>
      <c r="M10" s="190">
        <v>0</v>
      </c>
      <c r="N10" s="191">
        <f>M10-D10-F10</f>
        <v>-3</v>
      </c>
      <c r="O10" s="192">
        <v>4.5</v>
      </c>
      <c r="P10" s="193"/>
      <c r="Q10" s="194"/>
      <c r="R10" s="194">
        <v>138.80000000000001</v>
      </c>
      <c r="S10" s="194"/>
      <c r="T10" s="194"/>
      <c r="U10" s="193">
        <f t="shared" si="7"/>
        <v>138.80000000000001</v>
      </c>
      <c r="V10" s="193"/>
      <c r="W10" s="193">
        <v>3</v>
      </c>
      <c r="X10" s="195"/>
      <c r="Y10" s="196"/>
      <c r="Z10" s="271">
        <f t="shared" si="8"/>
        <v>146.30000000000001</v>
      </c>
    </row>
    <row r="11" spans="1:26" x14ac:dyDescent="0.25">
      <c r="A11" s="262" t="s">
        <v>338</v>
      </c>
      <c r="B11" s="184" t="s">
        <v>339</v>
      </c>
      <c r="C11" s="185">
        <v>348.3</v>
      </c>
      <c r="D11" s="186"/>
      <c r="E11" s="186"/>
      <c r="F11" s="186"/>
      <c r="G11" s="186">
        <v>348.3</v>
      </c>
      <c r="H11" s="186">
        <v>348.3</v>
      </c>
      <c r="I11" s="186"/>
      <c r="J11" s="187"/>
      <c r="K11" s="197"/>
      <c r="L11" s="198"/>
      <c r="M11" s="190">
        <v>0</v>
      </c>
      <c r="N11" s="191">
        <f t="shared" ref="N11:N75" si="9">M11-D11-F11</f>
        <v>0</v>
      </c>
      <c r="O11" s="192"/>
      <c r="P11" s="193"/>
      <c r="Q11" s="194"/>
      <c r="R11" s="194">
        <v>343.7</v>
      </c>
      <c r="S11" s="194"/>
      <c r="T11" s="194"/>
      <c r="U11" s="193">
        <f t="shared" si="7"/>
        <v>343.7</v>
      </c>
      <c r="V11" s="193"/>
      <c r="W11" s="193"/>
      <c r="X11" s="195"/>
      <c r="Y11" s="196"/>
      <c r="Z11" s="271">
        <f t="shared" si="8"/>
        <v>343.7</v>
      </c>
    </row>
    <row r="12" spans="1:26" x14ac:dyDescent="0.25">
      <c r="A12" s="262" t="s">
        <v>340</v>
      </c>
      <c r="B12" s="184" t="s">
        <v>341</v>
      </c>
      <c r="C12" s="185">
        <v>100.7</v>
      </c>
      <c r="D12" s="186">
        <v>10</v>
      </c>
      <c r="E12" s="186">
        <v>8</v>
      </c>
      <c r="F12" s="186">
        <v>44.7</v>
      </c>
      <c r="G12" s="186">
        <v>100.7</v>
      </c>
      <c r="H12" s="186">
        <v>87.5</v>
      </c>
      <c r="I12" s="186"/>
      <c r="J12" s="187"/>
      <c r="K12" s="199"/>
      <c r="L12" s="189"/>
      <c r="M12" s="190">
        <v>0</v>
      </c>
      <c r="N12" s="191">
        <f t="shared" si="9"/>
        <v>-54.7</v>
      </c>
      <c r="O12" s="192">
        <v>8</v>
      </c>
      <c r="P12" s="193"/>
      <c r="Q12" s="194"/>
      <c r="R12" s="194"/>
      <c r="S12" s="194"/>
      <c r="T12" s="194"/>
      <c r="U12" s="193">
        <f t="shared" si="7"/>
        <v>0</v>
      </c>
      <c r="V12" s="193">
        <v>38</v>
      </c>
      <c r="W12" s="193"/>
      <c r="X12" s="195"/>
      <c r="Y12" s="196"/>
      <c r="Z12" s="271">
        <f t="shared" si="8"/>
        <v>46</v>
      </c>
    </row>
    <row r="13" spans="1:26" s="206" customFormat="1" hidden="1" x14ac:dyDescent="0.25">
      <c r="A13" s="262" t="s">
        <v>342</v>
      </c>
      <c r="B13" s="184" t="s">
        <v>343</v>
      </c>
      <c r="C13" s="200">
        <v>0</v>
      </c>
      <c r="D13" s="201">
        <v>0</v>
      </c>
      <c r="E13" s="201"/>
      <c r="F13" s="201">
        <v>0</v>
      </c>
      <c r="G13" s="201"/>
      <c r="H13" s="201"/>
      <c r="I13" s="201"/>
      <c r="J13" s="201"/>
      <c r="K13" s="199"/>
      <c r="L13" s="202"/>
      <c r="M13" s="193"/>
      <c r="N13" s="191">
        <f t="shared" si="9"/>
        <v>0</v>
      </c>
      <c r="O13" s="203"/>
      <c r="P13" s="203"/>
      <c r="Q13" s="203"/>
      <c r="R13" s="203"/>
      <c r="S13" s="203"/>
      <c r="T13" s="203"/>
      <c r="U13" s="193">
        <f t="shared" si="7"/>
        <v>0</v>
      </c>
      <c r="V13" s="203"/>
      <c r="W13" s="203"/>
      <c r="X13" s="204"/>
      <c r="Y13" s="205"/>
      <c r="Z13" s="271">
        <f t="shared" si="8"/>
        <v>0</v>
      </c>
    </row>
    <row r="14" spans="1:26" s="178" customFormat="1" ht="36" customHeight="1" x14ac:dyDescent="0.25">
      <c r="A14" s="262" t="s">
        <v>344</v>
      </c>
      <c r="B14" s="184" t="s">
        <v>345</v>
      </c>
      <c r="C14" s="185">
        <v>153.5</v>
      </c>
      <c r="D14" s="207">
        <v>15</v>
      </c>
      <c r="E14" s="207"/>
      <c r="F14" s="207"/>
      <c r="G14" s="207">
        <v>153.5</v>
      </c>
      <c r="H14" s="207">
        <v>153.5</v>
      </c>
      <c r="I14" s="202"/>
      <c r="J14" s="202"/>
      <c r="K14" s="208" t="s">
        <v>346</v>
      </c>
      <c r="L14" s="202"/>
      <c r="M14" s="193">
        <v>15</v>
      </c>
      <c r="N14" s="191">
        <f t="shared" si="9"/>
        <v>0</v>
      </c>
      <c r="O14" s="193"/>
      <c r="P14" s="193"/>
      <c r="Q14" s="193"/>
      <c r="R14" s="193">
        <v>136.19999999999999</v>
      </c>
      <c r="S14" s="193"/>
      <c r="T14" s="193"/>
      <c r="U14" s="193">
        <f t="shared" si="7"/>
        <v>136.19999999999999</v>
      </c>
      <c r="V14" s="193"/>
      <c r="W14" s="193"/>
      <c r="X14" s="195"/>
      <c r="Y14" s="196"/>
      <c r="Z14" s="271">
        <f t="shared" si="8"/>
        <v>151.19999999999999</v>
      </c>
    </row>
    <row r="15" spans="1:26" hidden="1" x14ac:dyDescent="0.25">
      <c r="A15" s="262" t="s">
        <v>347</v>
      </c>
      <c r="B15" s="184" t="s">
        <v>348</v>
      </c>
      <c r="C15" s="185">
        <v>0</v>
      </c>
      <c r="D15" s="209"/>
      <c r="E15" s="209"/>
      <c r="F15" s="209"/>
      <c r="G15" s="209"/>
      <c r="H15" s="209"/>
      <c r="I15" s="209"/>
      <c r="J15" s="209"/>
      <c r="K15" s="210"/>
      <c r="L15" s="211"/>
      <c r="M15" s="212"/>
      <c r="N15" s="191">
        <f t="shared" si="9"/>
        <v>0</v>
      </c>
      <c r="O15" s="213"/>
      <c r="P15" s="193"/>
      <c r="Q15" s="213"/>
      <c r="R15" s="213"/>
      <c r="S15" s="213"/>
      <c r="T15" s="213"/>
      <c r="U15" s="193">
        <f t="shared" si="7"/>
        <v>0</v>
      </c>
      <c r="V15" s="193"/>
      <c r="W15" s="193"/>
      <c r="X15" s="195"/>
      <c r="Y15" s="196"/>
      <c r="Z15" s="271">
        <f t="shared" si="8"/>
        <v>0</v>
      </c>
    </row>
    <row r="16" spans="1:26" hidden="1" x14ac:dyDescent="0.25">
      <c r="A16" s="262" t="s">
        <v>349</v>
      </c>
      <c r="B16" s="184" t="s">
        <v>350</v>
      </c>
      <c r="C16" s="185">
        <v>43.2</v>
      </c>
      <c r="D16" s="207">
        <v>43.2</v>
      </c>
      <c r="E16" s="207"/>
      <c r="F16" s="207"/>
      <c r="G16" s="207">
        <v>1.1000000000000001</v>
      </c>
      <c r="H16" s="207">
        <v>0.6</v>
      </c>
      <c r="I16" s="202"/>
      <c r="J16" s="202"/>
      <c r="K16" s="214"/>
      <c r="L16" s="202"/>
      <c r="M16" s="193">
        <v>0</v>
      </c>
      <c r="N16" s="191">
        <f t="shared" si="9"/>
        <v>-43.2</v>
      </c>
      <c r="O16" s="193"/>
      <c r="P16" s="193"/>
      <c r="Q16" s="193"/>
      <c r="R16" s="193"/>
      <c r="S16" s="193"/>
      <c r="T16" s="193"/>
      <c r="U16" s="193">
        <f t="shared" si="7"/>
        <v>0</v>
      </c>
      <c r="V16" s="193"/>
      <c r="W16" s="193"/>
      <c r="X16" s="195"/>
      <c r="Y16" s="215"/>
      <c r="Z16" s="271">
        <f t="shared" si="8"/>
        <v>0</v>
      </c>
    </row>
    <row r="17" spans="1:26" s="178" customFormat="1" ht="22.5" customHeight="1" x14ac:dyDescent="0.25">
      <c r="A17" s="262" t="s">
        <v>351</v>
      </c>
      <c r="B17" s="184" t="s">
        <v>352</v>
      </c>
      <c r="C17" s="185">
        <v>40.799999999999997</v>
      </c>
      <c r="D17" s="207">
        <v>40.799999999999997</v>
      </c>
      <c r="E17" s="207"/>
      <c r="F17" s="207"/>
      <c r="G17" s="207">
        <v>40.799999999999997</v>
      </c>
      <c r="H17" s="207">
        <v>34.799999999999997</v>
      </c>
      <c r="I17" s="202"/>
      <c r="J17" s="202"/>
      <c r="K17" s="208" t="s">
        <v>353</v>
      </c>
      <c r="L17" s="202"/>
      <c r="M17" s="193">
        <f>53.5-10</f>
        <v>43.5</v>
      </c>
      <c r="N17" s="191">
        <f t="shared" si="9"/>
        <v>2.7000000000000028</v>
      </c>
      <c r="O17" s="212"/>
      <c r="P17" s="193"/>
      <c r="Q17" s="193"/>
      <c r="R17" s="193"/>
      <c r="S17" s="193"/>
      <c r="T17" s="193"/>
      <c r="U17" s="193">
        <f t="shared" si="7"/>
        <v>0</v>
      </c>
      <c r="V17" s="193"/>
      <c r="W17" s="193"/>
      <c r="X17" s="195"/>
      <c r="Y17" s="196"/>
      <c r="Z17" s="271">
        <f t="shared" si="8"/>
        <v>43.5</v>
      </c>
    </row>
    <row r="18" spans="1:26" ht="24" customHeight="1" x14ac:dyDescent="0.25">
      <c r="A18" s="262" t="s">
        <v>354</v>
      </c>
      <c r="B18" s="184" t="s">
        <v>355</v>
      </c>
      <c r="C18" s="185">
        <v>556.6</v>
      </c>
      <c r="D18" s="209">
        <v>351.3</v>
      </c>
      <c r="E18" s="209"/>
      <c r="F18" s="209">
        <v>205.3</v>
      </c>
      <c r="G18" s="209">
        <v>425.6</v>
      </c>
      <c r="H18" s="209">
        <v>362.7</v>
      </c>
      <c r="I18" s="209"/>
      <c r="J18" s="209"/>
      <c r="K18" s="216" t="s">
        <v>356</v>
      </c>
      <c r="L18" s="211"/>
      <c r="M18" s="212">
        <f>829.9-438.2</f>
        <v>391.7</v>
      </c>
      <c r="N18" s="191">
        <f t="shared" si="9"/>
        <v>-164.90000000000003</v>
      </c>
      <c r="O18" s="212"/>
      <c r="P18" s="193"/>
      <c r="Q18" s="212"/>
      <c r="R18" s="212"/>
      <c r="S18" s="212"/>
      <c r="T18" s="212"/>
      <c r="U18" s="193">
        <f t="shared" si="7"/>
        <v>0</v>
      </c>
      <c r="V18" s="193"/>
      <c r="W18" s="193"/>
      <c r="X18" s="195"/>
      <c r="Y18" s="196"/>
      <c r="Z18" s="271">
        <f t="shared" si="8"/>
        <v>391.7</v>
      </c>
    </row>
    <row r="19" spans="1:26" s="178" customFormat="1" hidden="1" x14ac:dyDescent="0.25">
      <c r="A19" s="262" t="s">
        <v>357</v>
      </c>
      <c r="B19" s="184" t="s">
        <v>358</v>
      </c>
      <c r="C19" s="217"/>
      <c r="D19" s="202"/>
      <c r="E19" s="202"/>
      <c r="F19" s="202"/>
      <c r="G19" s="202"/>
      <c r="H19" s="202"/>
      <c r="I19" s="202"/>
      <c r="J19" s="202"/>
      <c r="K19" s="199"/>
      <c r="L19" s="202"/>
      <c r="M19" s="193"/>
      <c r="N19" s="191">
        <f t="shared" si="9"/>
        <v>0</v>
      </c>
      <c r="O19" s="212"/>
      <c r="P19" s="193"/>
      <c r="Q19" s="193"/>
      <c r="R19" s="193"/>
      <c r="S19" s="193"/>
      <c r="T19" s="193"/>
      <c r="U19" s="193">
        <f t="shared" si="7"/>
        <v>0</v>
      </c>
      <c r="V19" s="193"/>
      <c r="W19" s="193"/>
      <c r="X19" s="195"/>
      <c r="Y19" s="196"/>
      <c r="Z19" s="271">
        <f t="shared" si="8"/>
        <v>0</v>
      </c>
    </row>
    <row r="20" spans="1:26" hidden="1" x14ac:dyDescent="0.25">
      <c r="A20" s="262" t="s">
        <v>359</v>
      </c>
      <c r="B20" s="184" t="s">
        <v>360</v>
      </c>
      <c r="C20" s="185"/>
      <c r="D20" s="207"/>
      <c r="E20" s="207"/>
      <c r="F20" s="207"/>
      <c r="G20" s="207"/>
      <c r="H20" s="207"/>
      <c r="I20" s="202"/>
      <c r="J20" s="202"/>
      <c r="K20" s="201"/>
      <c r="L20" s="202"/>
      <c r="M20" s="193"/>
      <c r="N20" s="191">
        <f t="shared" si="9"/>
        <v>0</v>
      </c>
      <c r="O20" s="193"/>
      <c r="P20" s="193"/>
      <c r="Q20" s="193"/>
      <c r="R20" s="193"/>
      <c r="S20" s="193"/>
      <c r="T20" s="193"/>
      <c r="U20" s="193">
        <f t="shared" si="7"/>
        <v>0</v>
      </c>
      <c r="V20" s="193"/>
      <c r="W20" s="193"/>
      <c r="X20" s="195"/>
      <c r="Y20" s="196"/>
      <c r="Z20" s="271">
        <f t="shared" si="8"/>
        <v>0</v>
      </c>
    </row>
    <row r="21" spans="1:26" s="178" customFormat="1" x14ac:dyDescent="0.25">
      <c r="A21" s="262" t="s">
        <v>361</v>
      </c>
      <c r="B21" s="184" t="s">
        <v>362</v>
      </c>
      <c r="C21" s="185">
        <v>3.4</v>
      </c>
      <c r="D21" s="207"/>
      <c r="E21" s="207"/>
      <c r="F21" s="207"/>
      <c r="G21" s="207">
        <v>3.4</v>
      </c>
      <c r="H21" s="207">
        <v>3.3</v>
      </c>
      <c r="I21" s="202"/>
      <c r="J21" s="202"/>
      <c r="K21" s="199"/>
      <c r="L21" s="202"/>
      <c r="M21" s="193">
        <v>0</v>
      </c>
      <c r="N21" s="191">
        <f t="shared" si="9"/>
        <v>0</v>
      </c>
      <c r="O21" s="212"/>
      <c r="P21" s="193"/>
      <c r="Q21" s="193"/>
      <c r="R21" s="193">
        <v>4.2</v>
      </c>
      <c r="S21" s="193"/>
      <c r="T21" s="193"/>
      <c r="U21" s="193">
        <f t="shared" si="7"/>
        <v>4.2</v>
      </c>
      <c r="V21" s="193"/>
      <c r="W21" s="193"/>
      <c r="X21" s="195"/>
      <c r="Y21" s="196"/>
      <c r="Z21" s="271">
        <f t="shared" si="8"/>
        <v>4.2</v>
      </c>
    </row>
    <row r="22" spans="1:26" s="178" customFormat="1" x14ac:dyDescent="0.25">
      <c r="A22" s="262" t="s">
        <v>363</v>
      </c>
      <c r="B22" s="184" t="s">
        <v>364</v>
      </c>
      <c r="C22" s="185">
        <v>191.4</v>
      </c>
      <c r="D22" s="207"/>
      <c r="E22" s="207"/>
      <c r="F22" s="207">
        <v>50</v>
      </c>
      <c r="G22" s="207">
        <v>175.9</v>
      </c>
      <c r="H22" s="207">
        <v>127.9</v>
      </c>
      <c r="I22" s="202"/>
      <c r="J22" s="202"/>
      <c r="K22" s="214"/>
      <c r="L22" s="218"/>
      <c r="M22" s="193">
        <v>0</v>
      </c>
      <c r="N22" s="191">
        <f t="shared" si="9"/>
        <v>-50</v>
      </c>
      <c r="O22" s="212"/>
      <c r="P22" s="193"/>
      <c r="Q22" s="193"/>
      <c r="R22" s="193"/>
      <c r="S22" s="193"/>
      <c r="T22" s="193">
        <f>306.6+3.9</f>
        <v>310.5</v>
      </c>
      <c r="U22" s="193">
        <f t="shared" si="7"/>
        <v>310.5</v>
      </c>
      <c r="V22" s="193"/>
      <c r="W22" s="193"/>
      <c r="X22" s="195"/>
      <c r="Y22" s="196"/>
      <c r="Z22" s="271">
        <f t="shared" si="8"/>
        <v>310.5</v>
      </c>
    </row>
    <row r="23" spans="1:26" s="178" customFormat="1" ht="47.25" hidden="1" x14ac:dyDescent="0.25">
      <c r="A23" s="262" t="s">
        <v>365</v>
      </c>
      <c r="B23" s="184" t="s">
        <v>366</v>
      </c>
      <c r="C23" s="185"/>
      <c r="D23" s="207"/>
      <c r="E23" s="207"/>
      <c r="F23" s="207"/>
      <c r="G23" s="207">
        <v>0</v>
      </c>
      <c r="H23" s="207"/>
      <c r="I23" s="202"/>
      <c r="J23" s="202"/>
      <c r="K23" s="219" t="s">
        <v>367</v>
      </c>
      <c r="L23" s="218"/>
      <c r="M23" s="193">
        <v>0</v>
      </c>
      <c r="N23" s="191">
        <f t="shared" si="9"/>
        <v>0</v>
      </c>
      <c r="O23" s="212"/>
      <c r="P23" s="193"/>
      <c r="Q23" s="193"/>
      <c r="R23" s="193"/>
      <c r="S23" s="193"/>
      <c r="T23" s="193"/>
      <c r="U23" s="193">
        <f t="shared" si="7"/>
        <v>0</v>
      </c>
      <c r="V23" s="193"/>
      <c r="W23" s="193"/>
      <c r="X23" s="195"/>
      <c r="Y23" s="196"/>
      <c r="Z23" s="271">
        <f t="shared" si="8"/>
        <v>0</v>
      </c>
    </row>
    <row r="24" spans="1:26" s="178" customFormat="1" x14ac:dyDescent="0.25">
      <c r="A24" s="262" t="s">
        <v>368</v>
      </c>
      <c r="B24" s="184" t="s">
        <v>369</v>
      </c>
      <c r="C24" s="185"/>
      <c r="D24" s="207"/>
      <c r="E24" s="207"/>
      <c r="F24" s="207"/>
      <c r="G24" s="207"/>
      <c r="H24" s="207"/>
      <c r="I24" s="202"/>
      <c r="J24" s="202"/>
      <c r="K24" s="214"/>
      <c r="L24" s="218"/>
      <c r="M24" s="193">
        <v>0</v>
      </c>
      <c r="N24" s="191">
        <f t="shared" si="9"/>
        <v>0</v>
      </c>
      <c r="O24" s="212"/>
      <c r="P24" s="193"/>
      <c r="Q24" s="193"/>
      <c r="R24" s="193"/>
      <c r="S24" s="193"/>
      <c r="T24" s="193">
        <v>235.5</v>
      </c>
      <c r="U24" s="193">
        <f t="shared" si="7"/>
        <v>235.5</v>
      </c>
      <c r="V24" s="193"/>
      <c r="W24" s="193"/>
      <c r="X24" s="195"/>
      <c r="Y24" s="196"/>
      <c r="Z24" s="271">
        <f t="shared" si="8"/>
        <v>235.5</v>
      </c>
    </row>
    <row r="25" spans="1:26" s="178" customFormat="1" x14ac:dyDescent="0.25">
      <c r="A25" s="262" t="s">
        <v>370</v>
      </c>
      <c r="B25" s="184" t="s">
        <v>371</v>
      </c>
      <c r="C25" s="185"/>
      <c r="D25" s="207"/>
      <c r="E25" s="207"/>
      <c r="F25" s="207"/>
      <c r="G25" s="207"/>
      <c r="H25" s="207"/>
      <c r="I25" s="202"/>
      <c r="J25" s="202"/>
      <c r="K25" s="214"/>
      <c r="L25" s="218"/>
      <c r="M25" s="193">
        <v>0</v>
      </c>
      <c r="N25" s="191">
        <f t="shared" si="9"/>
        <v>0</v>
      </c>
      <c r="O25" s="212"/>
      <c r="P25" s="193"/>
      <c r="Q25" s="193"/>
      <c r="R25" s="193"/>
      <c r="S25" s="193"/>
      <c r="T25" s="193">
        <v>169.5</v>
      </c>
      <c r="U25" s="193">
        <f t="shared" si="7"/>
        <v>169.5</v>
      </c>
      <c r="V25" s="193"/>
      <c r="W25" s="193"/>
      <c r="X25" s="195"/>
      <c r="Y25" s="196"/>
      <c r="Z25" s="271">
        <f t="shared" si="8"/>
        <v>169.5</v>
      </c>
    </row>
    <row r="26" spans="1:26" s="178" customFormat="1" x14ac:dyDescent="0.25">
      <c r="A26" s="263" t="s">
        <v>372</v>
      </c>
      <c r="B26" s="180" t="s">
        <v>373</v>
      </c>
      <c r="C26" s="181">
        <f>C27+C28+C29+C30+C31</f>
        <v>2252.8000000000002</v>
      </c>
      <c r="D26" s="181">
        <f t="shared" ref="D26:J26" si="10">D27+D28+D29+D30+D31</f>
        <v>684.69999999999993</v>
      </c>
      <c r="E26" s="181">
        <f t="shared" si="10"/>
        <v>0</v>
      </c>
      <c r="F26" s="181">
        <f t="shared" si="10"/>
        <v>0</v>
      </c>
      <c r="G26" s="181">
        <f t="shared" si="10"/>
        <v>3400.1000000000004</v>
      </c>
      <c r="H26" s="181">
        <f t="shared" si="10"/>
        <v>3060.9</v>
      </c>
      <c r="I26" s="181">
        <f t="shared" si="10"/>
        <v>0</v>
      </c>
      <c r="J26" s="181">
        <f t="shared" si="10"/>
        <v>0</v>
      </c>
      <c r="K26" s="220"/>
      <c r="L26" s="181">
        <f t="shared" ref="L26:Y26" si="11">L27+L28+L29+L30+L31</f>
        <v>0</v>
      </c>
      <c r="M26" s="182">
        <f>M27+M28+M29+M30+M31</f>
        <v>825.6</v>
      </c>
      <c r="N26" s="221">
        <f>N27+N28+N29+N30+N31</f>
        <v>140.9</v>
      </c>
      <c r="O26" s="182">
        <f t="shared" si="11"/>
        <v>0</v>
      </c>
      <c r="P26" s="182">
        <f t="shared" si="11"/>
        <v>0</v>
      </c>
      <c r="Q26" s="182">
        <f t="shared" si="11"/>
        <v>0</v>
      </c>
      <c r="R26" s="182">
        <f t="shared" si="11"/>
        <v>2754</v>
      </c>
      <c r="S26" s="182">
        <f t="shared" si="11"/>
        <v>404.8</v>
      </c>
      <c r="T26" s="182">
        <f t="shared" si="11"/>
        <v>8.6999999999999993</v>
      </c>
      <c r="U26" s="182">
        <f t="shared" si="7"/>
        <v>3167.5</v>
      </c>
      <c r="V26" s="182">
        <f t="shared" si="11"/>
        <v>0</v>
      </c>
      <c r="W26" s="182">
        <f>W27+W28+W29+W30+W31</f>
        <v>0</v>
      </c>
      <c r="X26" s="182">
        <f t="shared" si="11"/>
        <v>0</v>
      </c>
      <c r="Y26" s="182">
        <f t="shared" si="11"/>
        <v>0</v>
      </c>
      <c r="Z26" s="270">
        <f t="shared" si="8"/>
        <v>3993.1</v>
      </c>
    </row>
    <row r="27" spans="1:26" ht="28.5" customHeight="1" x14ac:dyDescent="0.25">
      <c r="A27" s="262" t="s">
        <v>374</v>
      </c>
      <c r="B27" s="184" t="s">
        <v>375</v>
      </c>
      <c r="C27" s="185">
        <v>183.1</v>
      </c>
      <c r="D27" s="209">
        <v>63.3</v>
      </c>
      <c r="E27" s="209"/>
      <c r="F27" s="209"/>
      <c r="G27" s="209">
        <v>175.1</v>
      </c>
      <c r="H27" s="209">
        <v>162.6</v>
      </c>
      <c r="I27" s="209"/>
      <c r="J27" s="209"/>
      <c r="K27" s="199" t="s">
        <v>376</v>
      </c>
      <c r="L27" s="211"/>
      <c r="M27" s="212">
        <v>80.599999999999994</v>
      </c>
      <c r="N27" s="191">
        <f t="shared" si="9"/>
        <v>17.299999999999997</v>
      </c>
      <c r="O27" s="213"/>
      <c r="P27" s="193"/>
      <c r="Q27" s="213"/>
      <c r="R27" s="213"/>
      <c r="S27" s="213">
        <v>119.8</v>
      </c>
      <c r="T27" s="213">
        <f>7.1+1.6</f>
        <v>8.6999999999999993</v>
      </c>
      <c r="U27" s="193">
        <f t="shared" si="7"/>
        <v>128.5</v>
      </c>
      <c r="V27" s="193"/>
      <c r="W27" s="193"/>
      <c r="X27" s="195"/>
      <c r="Y27" s="196"/>
      <c r="Z27" s="271">
        <f t="shared" si="8"/>
        <v>209.1</v>
      </c>
    </row>
    <row r="28" spans="1:26" s="178" customFormat="1" ht="17.25" customHeight="1" x14ac:dyDescent="0.25">
      <c r="A28" s="262" t="s">
        <v>377</v>
      </c>
      <c r="B28" s="184" t="s">
        <v>378</v>
      </c>
      <c r="C28" s="217">
        <v>170.8</v>
      </c>
      <c r="D28" s="202">
        <v>50</v>
      </c>
      <c r="E28" s="202"/>
      <c r="F28" s="202"/>
      <c r="G28" s="207">
        <v>240.3</v>
      </c>
      <c r="H28" s="207">
        <v>216.4</v>
      </c>
      <c r="I28" s="202"/>
      <c r="J28" s="202"/>
      <c r="K28" s="222" t="s">
        <v>790</v>
      </c>
      <c r="L28" s="202"/>
      <c r="M28" s="193">
        <v>90</v>
      </c>
      <c r="N28" s="191">
        <f t="shared" si="9"/>
        <v>40</v>
      </c>
      <c r="O28" s="213"/>
      <c r="P28" s="193"/>
      <c r="Q28" s="193"/>
      <c r="R28" s="193"/>
      <c r="S28" s="193">
        <v>122</v>
      </c>
      <c r="T28" s="193"/>
      <c r="U28" s="193">
        <f t="shared" si="7"/>
        <v>122</v>
      </c>
      <c r="V28" s="193"/>
      <c r="W28" s="193"/>
      <c r="X28" s="195"/>
      <c r="Y28" s="196"/>
      <c r="Z28" s="271">
        <f t="shared" si="8"/>
        <v>212</v>
      </c>
    </row>
    <row r="29" spans="1:26" hidden="1" x14ac:dyDescent="0.25">
      <c r="A29" s="262" t="s">
        <v>379</v>
      </c>
      <c r="B29" s="184" t="s">
        <v>380</v>
      </c>
      <c r="C29" s="185">
        <v>0</v>
      </c>
      <c r="D29" s="209"/>
      <c r="E29" s="209"/>
      <c r="F29" s="209"/>
      <c r="G29" s="209"/>
      <c r="H29" s="209"/>
      <c r="I29" s="209"/>
      <c r="J29" s="209"/>
      <c r="K29" s="210"/>
      <c r="L29" s="211"/>
      <c r="M29" s="212"/>
      <c r="N29" s="191">
        <f t="shared" si="9"/>
        <v>0</v>
      </c>
      <c r="O29" s="213"/>
      <c r="P29" s="193"/>
      <c r="Q29" s="213"/>
      <c r="R29" s="213"/>
      <c r="S29" s="213"/>
      <c r="T29" s="213"/>
      <c r="U29" s="193">
        <f t="shared" si="7"/>
        <v>0</v>
      </c>
      <c r="V29" s="193"/>
      <c r="W29" s="193"/>
      <c r="X29" s="195"/>
      <c r="Y29" s="196"/>
      <c r="Z29" s="271">
        <f t="shared" si="8"/>
        <v>0</v>
      </c>
    </row>
    <row r="30" spans="1:26" s="178" customFormat="1" ht="22.5" customHeight="1" x14ac:dyDescent="0.25">
      <c r="A30" s="262" t="s">
        <v>381</v>
      </c>
      <c r="B30" s="184" t="s">
        <v>382</v>
      </c>
      <c r="C30" s="217">
        <v>1802.5</v>
      </c>
      <c r="D30" s="202">
        <v>475</v>
      </c>
      <c r="E30" s="202"/>
      <c r="F30" s="202"/>
      <c r="G30" s="207">
        <v>2894.3</v>
      </c>
      <c r="H30" s="207">
        <v>2615.3000000000002</v>
      </c>
      <c r="I30" s="202"/>
      <c r="J30" s="202"/>
      <c r="K30" s="214" t="s">
        <v>383</v>
      </c>
      <c r="L30" s="202"/>
      <c r="M30" s="213">
        <v>570</v>
      </c>
      <c r="N30" s="191">
        <f t="shared" si="9"/>
        <v>95</v>
      </c>
      <c r="O30" s="213"/>
      <c r="P30" s="193"/>
      <c r="Q30" s="193"/>
      <c r="R30" s="193">
        <v>2754</v>
      </c>
      <c r="S30" s="193">
        <v>163</v>
      </c>
      <c r="T30" s="193"/>
      <c r="U30" s="193">
        <f t="shared" si="7"/>
        <v>2917</v>
      </c>
      <c r="V30" s="193"/>
      <c r="W30" s="193"/>
      <c r="X30" s="195"/>
      <c r="Y30" s="196"/>
      <c r="Z30" s="271">
        <f t="shared" si="8"/>
        <v>3487</v>
      </c>
    </row>
    <row r="31" spans="1:26" ht="20.25" customHeight="1" x14ac:dyDescent="0.25">
      <c r="A31" s="262" t="s">
        <v>384</v>
      </c>
      <c r="B31" s="184" t="s">
        <v>385</v>
      </c>
      <c r="C31" s="185">
        <v>96.4</v>
      </c>
      <c r="D31" s="209">
        <v>96.4</v>
      </c>
      <c r="E31" s="209"/>
      <c r="F31" s="209"/>
      <c r="G31" s="209">
        <v>90.4</v>
      </c>
      <c r="H31" s="209">
        <v>66.599999999999994</v>
      </c>
      <c r="I31" s="209"/>
      <c r="J31" s="209"/>
      <c r="K31" s="199" t="s">
        <v>386</v>
      </c>
      <c r="L31" s="211"/>
      <c r="M31" s="212">
        <v>85</v>
      </c>
      <c r="N31" s="191">
        <f t="shared" si="9"/>
        <v>-11.400000000000006</v>
      </c>
      <c r="O31" s="213"/>
      <c r="P31" s="193">
        <f>O31-E31</f>
        <v>0</v>
      </c>
      <c r="Q31" s="213"/>
      <c r="R31" s="213"/>
      <c r="S31" s="213">
        <v>0</v>
      </c>
      <c r="T31" s="213"/>
      <c r="U31" s="193">
        <f t="shared" si="7"/>
        <v>0</v>
      </c>
      <c r="V31" s="193"/>
      <c r="W31" s="193"/>
      <c r="X31" s="195"/>
      <c r="Y31" s="196"/>
      <c r="Z31" s="271">
        <f t="shared" si="8"/>
        <v>85</v>
      </c>
    </row>
    <row r="32" spans="1:26" s="178" customFormat="1" x14ac:dyDescent="0.25">
      <c r="A32" s="263" t="s">
        <v>387</v>
      </c>
      <c r="B32" s="180" t="s">
        <v>388</v>
      </c>
      <c r="C32" s="181">
        <f>C33+C34+C35+C36+C37+C38+C39+C40+C41+C42+C43+C44+C45+C46+C47+C48+C49</f>
        <v>9784.3000000000011</v>
      </c>
      <c r="D32" s="181">
        <f t="shared" ref="D32:F32" si="12">D33+D34+D35+D36+D37+D38+D39+D40+D41+D42+D43+D44+D45+D46+D47+D48+D49</f>
        <v>6062</v>
      </c>
      <c r="E32" s="181">
        <f t="shared" si="12"/>
        <v>0</v>
      </c>
      <c r="F32" s="181">
        <f t="shared" si="12"/>
        <v>429.50000000000006</v>
      </c>
      <c r="G32" s="181">
        <f>G33+G34+G35+G36+G37+G38+G39+G40+G41+G42+G43+G44+G45+G46+G47+G48+G49+G50</f>
        <v>10149.800000000001</v>
      </c>
      <c r="H32" s="181">
        <f>H33+H34+H35+H36+H37+H38+H39+H40+H41+H42+H43+H44+H45+H46+H47+H48+H49+H50</f>
        <v>9582.7999999999993</v>
      </c>
      <c r="I32" s="181">
        <f t="shared" ref="I32:J32" si="13">I33+I34+I35+I36+I37+I38+I39+I40+I41+I42+I43+I44+I45+I46+I47+I48</f>
        <v>0</v>
      </c>
      <c r="J32" s="181">
        <f t="shared" si="13"/>
        <v>0</v>
      </c>
      <c r="K32" s="220"/>
      <c r="L32" s="181">
        <f t="shared" ref="L32:Y32" si="14">L33+L34+L35+L36+L37+L38+L39+L40+L41+L42+L43+L44+L45+L46+L47+L48</f>
        <v>0</v>
      </c>
      <c r="M32" s="182">
        <f>M33+M34+M35+M36+M37+M38+M39+M40+M41+M42+M43+M44+M45+M46+M47+M48+M49+M50</f>
        <v>6446.6</v>
      </c>
      <c r="N32" s="182">
        <f t="shared" ref="N32:W32" si="15">N33+N34+N35+N36+N37+N38+N39+N40+N41+N42+N43+N44+N45+N46+N47+N48+N49+N50</f>
        <v>-44.899999999999977</v>
      </c>
      <c r="O32" s="182">
        <f t="shared" si="15"/>
        <v>0</v>
      </c>
      <c r="P32" s="182">
        <f t="shared" si="15"/>
        <v>0</v>
      </c>
      <c r="Q32" s="182">
        <f t="shared" si="15"/>
        <v>0</v>
      </c>
      <c r="R32" s="182">
        <f t="shared" si="15"/>
        <v>3222.9</v>
      </c>
      <c r="S32" s="182">
        <f t="shared" si="15"/>
        <v>223.9</v>
      </c>
      <c r="T32" s="182">
        <f t="shared" si="15"/>
        <v>28.5</v>
      </c>
      <c r="U32" s="182">
        <f>Q32+R32+S32+T32</f>
        <v>3475.3</v>
      </c>
      <c r="V32" s="182">
        <f t="shared" si="15"/>
        <v>0</v>
      </c>
      <c r="W32" s="182">
        <f t="shared" si="15"/>
        <v>69</v>
      </c>
      <c r="X32" s="182">
        <f t="shared" si="14"/>
        <v>0</v>
      </c>
      <c r="Y32" s="182">
        <f t="shared" si="14"/>
        <v>0</v>
      </c>
      <c r="Z32" s="233">
        <f>M32+O32+U32+V32+W32+X32</f>
        <v>9990.9000000000015</v>
      </c>
    </row>
    <row r="33" spans="1:26" ht="21" customHeight="1" x14ac:dyDescent="0.25">
      <c r="A33" s="262" t="s">
        <v>389</v>
      </c>
      <c r="B33" s="184" t="s">
        <v>390</v>
      </c>
      <c r="C33" s="185">
        <v>2450</v>
      </c>
      <c r="D33" s="209">
        <v>2400</v>
      </c>
      <c r="E33" s="209"/>
      <c r="F33" s="209">
        <v>50</v>
      </c>
      <c r="G33" s="209">
        <v>2639.2</v>
      </c>
      <c r="H33" s="209">
        <v>2563.4</v>
      </c>
      <c r="I33" s="209"/>
      <c r="J33" s="209"/>
      <c r="K33" s="214" t="s">
        <v>391</v>
      </c>
      <c r="L33" s="211"/>
      <c r="M33" s="213">
        <f>3225-714</f>
        <v>2511</v>
      </c>
      <c r="N33" s="191">
        <f t="shared" si="9"/>
        <v>61</v>
      </c>
      <c r="O33" s="213"/>
      <c r="P33" s="193">
        <f>O33-E33</f>
        <v>0</v>
      </c>
      <c r="Q33" s="213"/>
      <c r="R33" s="213"/>
      <c r="S33" s="213"/>
      <c r="T33" s="213"/>
      <c r="U33" s="193">
        <f t="shared" si="7"/>
        <v>0</v>
      </c>
      <c r="V33" s="193"/>
      <c r="W33" s="193"/>
      <c r="X33" s="195"/>
      <c r="Y33" s="196"/>
      <c r="Z33" s="271">
        <f t="shared" si="8"/>
        <v>2511</v>
      </c>
    </row>
    <row r="34" spans="1:26" ht="21" customHeight="1" x14ac:dyDescent="0.25">
      <c r="A34" s="262" t="s">
        <v>392</v>
      </c>
      <c r="B34" s="184" t="s">
        <v>393</v>
      </c>
      <c r="C34" s="185">
        <v>80</v>
      </c>
      <c r="D34" s="209">
        <v>80</v>
      </c>
      <c r="E34" s="209"/>
      <c r="F34" s="209"/>
      <c r="G34" s="209">
        <v>70</v>
      </c>
      <c r="H34" s="209">
        <v>62.7</v>
      </c>
      <c r="I34" s="209"/>
      <c r="J34" s="209"/>
      <c r="K34" s="199" t="s">
        <v>394</v>
      </c>
      <c r="L34" s="211"/>
      <c r="M34" s="212">
        <v>100</v>
      </c>
      <c r="N34" s="191">
        <f t="shared" si="9"/>
        <v>20</v>
      </c>
      <c r="O34" s="213"/>
      <c r="P34" s="193">
        <f>O34-E34</f>
        <v>0</v>
      </c>
      <c r="Q34" s="213"/>
      <c r="R34" s="213"/>
      <c r="S34" s="213"/>
      <c r="T34" s="213"/>
      <c r="U34" s="193">
        <f t="shared" si="7"/>
        <v>0</v>
      </c>
      <c r="V34" s="193"/>
      <c r="W34" s="193"/>
      <c r="X34" s="195"/>
      <c r="Y34" s="196"/>
      <c r="Z34" s="271">
        <f t="shared" si="8"/>
        <v>100</v>
      </c>
    </row>
    <row r="35" spans="1:26" ht="21.75" customHeight="1" x14ac:dyDescent="0.25">
      <c r="A35" s="262" t="s">
        <v>395</v>
      </c>
      <c r="B35" s="184" t="s">
        <v>396</v>
      </c>
      <c r="C35" s="185">
        <v>1402.8</v>
      </c>
      <c r="D35" s="209">
        <v>1402.8</v>
      </c>
      <c r="E35" s="209"/>
      <c r="F35" s="209"/>
      <c r="G35" s="209">
        <v>1462.2</v>
      </c>
      <c r="H35" s="209">
        <v>1436.9</v>
      </c>
      <c r="I35" s="209"/>
      <c r="J35" s="209"/>
      <c r="K35" s="214" t="s">
        <v>397</v>
      </c>
      <c r="L35" s="211"/>
      <c r="M35" s="213">
        <f>1700-300</f>
        <v>1400</v>
      </c>
      <c r="N35" s="191">
        <f t="shared" si="9"/>
        <v>-2.7999999999999545</v>
      </c>
      <c r="O35" s="213"/>
      <c r="P35" s="193">
        <f>O35-E35</f>
        <v>0</v>
      </c>
      <c r="Q35" s="213"/>
      <c r="R35" s="213"/>
      <c r="S35" s="213"/>
      <c r="T35" s="213"/>
      <c r="U35" s="193">
        <f t="shared" si="7"/>
        <v>0</v>
      </c>
      <c r="V35" s="193"/>
      <c r="W35" s="193">
        <f>50-50</f>
        <v>0</v>
      </c>
      <c r="X35" s="195"/>
      <c r="Y35" s="215"/>
      <c r="Z35" s="271">
        <f t="shared" si="8"/>
        <v>1400</v>
      </c>
    </row>
    <row r="36" spans="1:26" s="178" customFormat="1" x14ac:dyDescent="0.25">
      <c r="A36" s="262" t="s">
        <v>398</v>
      </c>
      <c r="B36" s="184" t="s">
        <v>399</v>
      </c>
      <c r="C36" s="217">
        <v>438.9</v>
      </c>
      <c r="D36" s="202"/>
      <c r="E36" s="202"/>
      <c r="F36" s="202"/>
      <c r="G36" s="207">
        <v>366.5</v>
      </c>
      <c r="H36" s="207">
        <v>300.39999999999998</v>
      </c>
      <c r="I36" s="202"/>
      <c r="J36" s="202"/>
      <c r="K36" s="199"/>
      <c r="L36" s="202"/>
      <c r="M36" s="193">
        <v>0</v>
      </c>
      <c r="N36" s="191">
        <f t="shared" si="9"/>
        <v>0</v>
      </c>
      <c r="O36" s="213"/>
      <c r="P36" s="193"/>
      <c r="Q36" s="193"/>
      <c r="R36" s="193">
        <v>331.5</v>
      </c>
      <c r="S36" s="193"/>
      <c r="T36" s="193"/>
      <c r="U36" s="193">
        <f t="shared" si="7"/>
        <v>331.5</v>
      </c>
      <c r="V36" s="193"/>
      <c r="W36" s="193"/>
      <c r="X36" s="195"/>
      <c r="Y36" s="196"/>
      <c r="Z36" s="271">
        <f t="shared" si="8"/>
        <v>331.5</v>
      </c>
    </row>
    <row r="37" spans="1:26" x14ac:dyDescent="0.25">
      <c r="A37" s="262" t="s">
        <v>400</v>
      </c>
      <c r="B37" s="184" t="s">
        <v>401</v>
      </c>
      <c r="C37" s="185">
        <v>492.8</v>
      </c>
      <c r="D37" s="209">
        <v>450</v>
      </c>
      <c r="E37" s="209"/>
      <c r="F37" s="209">
        <v>40.799999999999997</v>
      </c>
      <c r="G37" s="209">
        <v>492.8</v>
      </c>
      <c r="H37" s="209">
        <v>448.8</v>
      </c>
      <c r="I37" s="209"/>
      <c r="J37" s="209"/>
      <c r="K37" s="223" t="s">
        <v>402</v>
      </c>
      <c r="L37" s="211"/>
      <c r="M37" s="212">
        <v>500</v>
      </c>
      <c r="N37" s="191">
        <f t="shared" si="9"/>
        <v>9.2000000000000028</v>
      </c>
      <c r="O37" s="213"/>
      <c r="P37" s="193"/>
      <c r="Q37" s="213"/>
      <c r="R37" s="213">
        <v>1</v>
      </c>
      <c r="S37" s="213"/>
      <c r="T37" s="213"/>
      <c r="U37" s="193">
        <f t="shared" si="7"/>
        <v>1</v>
      </c>
      <c r="V37" s="193"/>
      <c r="W37" s="193"/>
      <c r="X37" s="195"/>
      <c r="Y37" s="196"/>
      <c r="Z37" s="271">
        <f t="shared" si="8"/>
        <v>501</v>
      </c>
    </row>
    <row r="38" spans="1:26" ht="22.5" customHeight="1" x14ac:dyDescent="0.25">
      <c r="A38" s="262" t="s">
        <v>403</v>
      </c>
      <c r="B38" s="184" t="s">
        <v>404</v>
      </c>
      <c r="C38" s="185">
        <v>80</v>
      </c>
      <c r="D38" s="209">
        <v>80</v>
      </c>
      <c r="E38" s="209"/>
      <c r="F38" s="209"/>
      <c r="G38" s="209">
        <v>73</v>
      </c>
      <c r="H38" s="209">
        <v>64.099999999999994</v>
      </c>
      <c r="I38" s="209"/>
      <c r="J38" s="209"/>
      <c r="K38" s="199" t="s">
        <v>405</v>
      </c>
      <c r="L38" s="211"/>
      <c r="M38" s="212">
        <v>80</v>
      </c>
      <c r="N38" s="191">
        <f t="shared" si="9"/>
        <v>0</v>
      </c>
      <c r="O38" s="213"/>
      <c r="P38" s="193"/>
      <c r="Q38" s="213"/>
      <c r="R38" s="213"/>
      <c r="S38" s="213"/>
      <c r="T38" s="213"/>
      <c r="U38" s="193">
        <f t="shared" si="7"/>
        <v>0</v>
      </c>
      <c r="V38" s="193"/>
      <c r="W38" s="193"/>
      <c r="X38" s="195"/>
      <c r="Y38" s="196"/>
      <c r="Z38" s="271">
        <f t="shared" si="8"/>
        <v>80</v>
      </c>
    </row>
    <row r="39" spans="1:26" x14ac:dyDescent="0.25">
      <c r="A39" s="262" t="s">
        <v>406</v>
      </c>
      <c r="B39" s="184" t="s">
        <v>407</v>
      </c>
      <c r="C39" s="185">
        <v>1139.5</v>
      </c>
      <c r="D39" s="209"/>
      <c r="E39" s="209"/>
      <c r="F39" s="209"/>
      <c r="G39" s="209">
        <v>1082.2</v>
      </c>
      <c r="H39" s="209">
        <v>960.7</v>
      </c>
      <c r="I39" s="209"/>
      <c r="J39" s="209"/>
      <c r="K39" s="199"/>
      <c r="L39" s="211"/>
      <c r="M39" s="212">
        <v>0</v>
      </c>
      <c r="N39" s="191">
        <f t="shared" si="9"/>
        <v>0</v>
      </c>
      <c r="O39" s="213"/>
      <c r="P39" s="193"/>
      <c r="Q39" s="213"/>
      <c r="R39" s="213">
        <v>1160.8</v>
      </c>
      <c r="S39" s="213"/>
      <c r="T39" s="213"/>
      <c r="U39" s="193">
        <f t="shared" si="7"/>
        <v>1160.8</v>
      </c>
      <c r="V39" s="193"/>
      <c r="W39" s="193"/>
      <c r="X39" s="195"/>
      <c r="Y39" s="196"/>
      <c r="Z39" s="271">
        <f t="shared" si="8"/>
        <v>1160.8</v>
      </c>
    </row>
    <row r="40" spans="1:26" x14ac:dyDescent="0.25">
      <c r="A40" s="262" t="s">
        <v>408</v>
      </c>
      <c r="B40" s="184" t="s">
        <v>409</v>
      </c>
      <c r="C40" s="185">
        <v>43.4</v>
      </c>
      <c r="D40" s="209"/>
      <c r="E40" s="209"/>
      <c r="F40" s="209"/>
      <c r="G40" s="209">
        <v>48.1</v>
      </c>
      <c r="H40" s="209">
        <v>45.5</v>
      </c>
      <c r="I40" s="209"/>
      <c r="J40" s="209"/>
      <c r="K40" s="199"/>
      <c r="L40" s="211"/>
      <c r="M40" s="212">
        <v>0</v>
      </c>
      <c r="N40" s="191">
        <f t="shared" si="9"/>
        <v>0</v>
      </c>
      <c r="O40" s="213"/>
      <c r="P40" s="193"/>
      <c r="Q40" s="213"/>
      <c r="R40" s="213">
        <v>57.2</v>
      </c>
      <c r="S40" s="213"/>
      <c r="T40" s="213"/>
      <c r="U40" s="193">
        <f t="shared" si="7"/>
        <v>57.2</v>
      </c>
      <c r="V40" s="193"/>
      <c r="W40" s="193"/>
      <c r="X40" s="195"/>
      <c r="Y40" s="196"/>
      <c r="Z40" s="271">
        <f t="shared" si="8"/>
        <v>57.2</v>
      </c>
    </row>
    <row r="41" spans="1:26" ht="21.75" customHeight="1" x14ac:dyDescent="0.25">
      <c r="A41" s="262" t="s">
        <v>410</v>
      </c>
      <c r="B41" s="184" t="s">
        <v>411</v>
      </c>
      <c r="C41" s="185">
        <v>10</v>
      </c>
      <c r="D41" s="209">
        <v>10</v>
      </c>
      <c r="E41" s="209"/>
      <c r="F41" s="209"/>
      <c r="G41" s="209">
        <v>10</v>
      </c>
      <c r="H41" s="209">
        <v>5.8</v>
      </c>
      <c r="I41" s="209"/>
      <c r="J41" s="209"/>
      <c r="K41" s="214" t="s">
        <v>412</v>
      </c>
      <c r="L41" s="211"/>
      <c r="M41" s="212">
        <v>10</v>
      </c>
      <c r="N41" s="191">
        <f t="shared" si="9"/>
        <v>0</v>
      </c>
      <c r="O41" s="213"/>
      <c r="P41" s="193"/>
      <c r="Q41" s="213"/>
      <c r="R41" s="213"/>
      <c r="S41" s="213"/>
      <c r="T41" s="213"/>
      <c r="U41" s="193">
        <f t="shared" si="7"/>
        <v>0</v>
      </c>
      <c r="V41" s="193"/>
      <c r="W41" s="193"/>
      <c r="X41" s="195"/>
      <c r="Y41" s="196"/>
      <c r="Z41" s="271">
        <f t="shared" si="8"/>
        <v>10</v>
      </c>
    </row>
    <row r="42" spans="1:26" s="178" customFormat="1" x14ac:dyDescent="0.25">
      <c r="A42" s="262" t="s">
        <v>413</v>
      </c>
      <c r="B42" s="184" t="s">
        <v>414</v>
      </c>
      <c r="C42" s="185">
        <v>141.30000000000001</v>
      </c>
      <c r="D42" s="207"/>
      <c r="E42" s="207"/>
      <c r="F42" s="207"/>
      <c r="G42" s="207">
        <v>179.3</v>
      </c>
      <c r="H42" s="207">
        <v>126.8</v>
      </c>
      <c r="I42" s="202"/>
      <c r="J42" s="202"/>
      <c r="K42" s="199"/>
      <c r="L42" s="202"/>
      <c r="M42" s="193">
        <v>0</v>
      </c>
      <c r="N42" s="191">
        <f t="shared" si="9"/>
        <v>0</v>
      </c>
      <c r="O42" s="213"/>
      <c r="P42" s="193"/>
      <c r="Q42" s="193"/>
      <c r="R42" s="193">
        <f>13.1+47.3+70.5+35-30</f>
        <v>135.9</v>
      </c>
      <c r="S42" s="193">
        <f>2.9+3.4+3.6</f>
        <v>9.9</v>
      </c>
      <c r="T42" s="193"/>
      <c r="U42" s="193">
        <f t="shared" si="7"/>
        <v>145.80000000000001</v>
      </c>
      <c r="V42" s="193"/>
      <c r="W42" s="193"/>
      <c r="X42" s="195"/>
      <c r="Y42" s="196"/>
      <c r="Z42" s="271">
        <f t="shared" si="8"/>
        <v>145.80000000000001</v>
      </c>
    </row>
    <row r="43" spans="1:26" hidden="1" x14ac:dyDescent="0.25">
      <c r="A43" s="262" t="s">
        <v>415</v>
      </c>
      <c r="B43" s="184" t="s">
        <v>416</v>
      </c>
      <c r="C43" s="185"/>
      <c r="D43" s="209"/>
      <c r="E43" s="209"/>
      <c r="F43" s="209"/>
      <c r="G43" s="209"/>
      <c r="H43" s="209"/>
      <c r="I43" s="209"/>
      <c r="J43" s="209"/>
      <c r="K43" s="199"/>
      <c r="L43" s="211"/>
      <c r="M43" s="212"/>
      <c r="N43" s="191">
        <f t="shared" si="9"/>
        <v>0</v>
      </c>
      <c r="O43" s="213"/>
      <c r="P43" s="193"/>
      <c r="Q43" s="213"/>
      <c r="R43" s="213"/>
      <c r="S43" s="213"/>
      <c r="T43" s="213"/>
      <c r="U43" s="193">
        <f t="shared" si="7"/>
        <v>0</v>
      </c>
      <c r="V43" s="193"/>
      <c r="W43" s="193"/>
      <c r="X43" s="195"/>
      <c r="Y43" s="196"/>
      <c r="Z43" s="271">
        <f t="shared" si="8"/>
        <v>0</v>
      </c>
    </row>
    <row r="44" spans="1:26" s="178" customFormat="1" ht="25.5" customHeight="1" x14ac:dyDescent="0.25">
      <c r="A44" s="262" t="s">
        <v>417</v>
      </c>
      <c r="B44" s="184" t="s">
        <v>107</v>
      </c>
      <c r="C44" s="224">
        <v>203.8</v>
      </c>
      <c r="D44" s="209">
        <v>26</v>
      </c>
      <c r="E44" s="209"/>
      <c r="F44" s="209">
        <v>177.8</v>
      </c>
      <c r="G44" s="209">
        <v>187.6</v>
      </c>
      <c r="H44" s="209">
        <v>183.4</v>
      </c>
      <c r="I44" s="225"/>
      <c r="J44" s="225"/>
      <c r="K44" s="214" t="s">
        <v>418</v>
      </c>
      <c r="L44" s="225"/>
      <c r="M44" s="212">
        <f>16+10</f>
        <v>26</v>
      </c>
      <c r="N44" s="191">
        <f t="shared" si="9"/>
        <v>-177.8</v>
      </c>
      <c r="O44" s="212"/>
      <c r="P44" s="193"/>
      <c r="Q44" s="212"/>
      <c r="R44" s="212"/>
      <c r="S44" s="212">
        <v>30</v>
      </c>
      <c r="T44" s="212"/>
      <c r="U44" s="193">
        <f t="shared" si="7"/>
        <v>30</v>
      </c>
      <c r="V44" s="193"/>
      <c r="W44" s="193">
        <v>69</v>
      </c>
      <c r="X44" s="195"/>
      <c r="Y44" s="196"/>
      <c r="Z44" s="271">
        <f t="shared" si="8"/>
        <v>125</v>
      </c>
    </row>
    <row r="45" spans="1:26" s="178" customFormat="1" x14ac:dyDescent="0.25">
      <c r="A45" s="262" t="s">
        <v>419</v>
      </c>
      <c r="B45" s="184" t="s">
        <v>420</v>
      </c>
      <c r="C45" s="224">
        <v>16</v>
      </c>
      <c r="D45" s="209"/>
      <c r="E45" s="209"/>
      <c r="F45" s="209"/>
      <c r="G45" s="209">
        <v>79.900000000000006</v>
      </c>
      <c r="H45" s="209">
        <v>69.2</v>
      </c>
      <c r="I45" s="225"/>
      <c r="J45" s="225"/>
      <c r="K45" s="199"/>
      <c r="L45" s="225"/>
      <c r="M45" s="212">
        <v>0</v>
      </c>
      <c r="N45" s="191">
        <f t="shared" si="9"/>
        <v>0</v>
      </c>
      <c r="O45" s="212"/>
      <c r="P45" s="193"/>
      <c r="Q45" s="212"/>
      <c r="R45" s="212">
        <v>16</v>
      </c>
      <c r="S45" s="212"/>
      <c r="T45" s="212"/>
      <c r="U45" s="193">
        <f t="shared" si="7"/>
        <v>16</v>
      </c>
      <c r="V45" s="193"/>
      <c r="W45" s="193"/>
      <c r="X45" s="195"/>
      <c r="Y45" s="196"/>
      <c r="Z45" s="271">
        <f t="shared" si="8"/>
        <v>16</v>
      </c>
    </row>
    <row r="46" spans="1:26" s="178" customFormat="1" ht="36.75" customHeight="1" x14ac:dyDescent="0.25">
      <c r="A46" s="262" t="s">
        <v>421</v>
      </c>
      <c r="B46" s="184" t="s">
        <v>422</v>
      </c>
      <c r="C46" s="185">
        <v>1981.7</v>
      </c>
      <c r="D46" s="209">
        <v>661.8</v>
      </c>
      <c r="E46" s="209"/>
      <c r="F46" s="209">
        <v>64.3</v>
      </c>
      <c r="G46" s="209">
        <v>2086.6999999999998</v>
      </c>
      <c r="H46" s="209">
        <v>2048.1999999999998</v>
      </c>
      <c r="I46" s="225"/>
      <c r="J46" s="225"/>
      <c r="K46" s="223" t="s">
        <v>423</v>
      </c>
      <c r="L46" s="225"/>
      <c r="M46" s="212">
        <v>696.3</v>
      </c>
      <c r="N46" s="191">
        <f t="shared" si="9"/>
        <v>-29.799999999999997</v>
      </c>
      <c r="O46" s="212"/>
      <c r="P46" s="193"/>
      <c r="Q46" s="212"/>
      <c r="R46" s="212">
        <f>512.8+934.7+73</f>
        <v>1520.5</v>
      </c>
      <c r="S46" s="212"/>
      <c r="T46" s="212"/>
      <c r="U46" s="193">
        <f t="shared" si="7"/>
        <v>1520.5</v>
      </c>
      <c r="V46" s="193"/>
      <c r="W46" s="193"/>
      <c r="X46" s="195"/>
      <c r="Y46" s="215"/>
      <c r="Z46" s="271">
        <f t="shared" si="8"/>
        <v>2216.8000000000002</v>
      </c>
    </row>
    <row r="47" spans="1:26" s="178" customFormat="1" x14ac:dyDescent="0.25">
      <c r="A47" s="262" t="s">
        <v>424</v>
      </c>
      <c r="B47" s="184" t="s">
        <v>425</v>
      </c>
      <c r="C47" s="224">
        <v>165.5</v>
      </c>
      <c r="D47" s="209"/>
      <c r="E47" s="209"/>
      <c r="F47" s="209"/>
      <c r="G47" s="209">
        <v>180.6</v>
      </c>
      <c r="H47" s="209">
        <v>172.8</v>
      </c>
      <c r="I47" s="225"/>
      <c r="J47" s="225"/>
      <c r="K47" s="199"/>
      <c r="L47" s="225"/>
      <c r="M47" s="212"/>
      <c r="N47" s="191">
        <f t="shared" si="9"/>
        <v>0</v>
      </c>
      <c r="O47" s="212"/>
      <c r="P47" s="193"/>
      <c r="Q47" s="212"/>
      <c r="R47" s="212"/>
      <c r="S47" s="212">
        <v>184</v>
      </c>
      <c r="T47" s="212"/>
      <c r="U47" s="193">
        <f t="shared" si="7"/>
        <v>184</v>
      </c>
      <c r="V47" s="193"/>
      <c r="W47" s="193"/>
      <c r="X47" s="195"/>
      <c r="Y47" s="196"/>
      <c r="Z47" s="271">
        <f t="shared" si="8"/>
        <v>184</v>
      </c>
    </row>
    <row r="48" spans="1:26" ht="49.5" customHeight="1" x14ac:dyDescent="0.25">
      <c r="A48" s="262" t="s">
        <v>426</v>
      </c>
      <c r="B48" s="184" t="s">
        <v>427</v>
      </c>
      <c r="C48" s="185">
        <v>1105.2</v>
      </c>
      <c r="D48" s="209">
        <v>951.4</v>
      </c>
      <c r="E48" s="209"/>
      <c r="F48" s="209">
        <v>96.3</v>
      </c>
      <c r="G48" s="209">
        <v>1148.2</v>
      </c>
      <c r="H48" s="209">
        <v>1061</v>
      </c>
      <c r="I48" s="209"/>
      <c r="J48" s="209"/>
      <c r="K48" s="223" t="s">
        <v>428</v>
      </c>
      <c r="L48" s="209"/>
      <c r="M48" s="213">
        <v>1123.3</v>
      </c>
      <c r="N48" s="191">
        <f t="shared" si="9"/>
        <v>75.59999999999998</v>
      </c>
      <c r="O48" s="213"/>
      <c r="P48" s="193"/>
      <c r="Q48" s="213"/>
      <c r="R48" s="213"/>
      <c r="S48" s="213"/>
      <c r="T48" s="213"/>
      <c r="U48" s="193">
        <f t="shared" si="7"/>
        <v>0</v>
      </c>
      <c r="V48" s="193"/>
      <c r="W48" s="193"/>
      <c r="X48" s="195"/>
      <c r="Y48" s="215"/>
      <c r="Z48" s="271">
        <f t="shared" si="8"/>
        <v>1123.3</v>
      </c>
    </row>
    <row r="49" spans="1:26" hidden="1" x14ac:dyDescent="0.25">
      <c r="A49" s="262" t="s">
        <v>429</v>
      </c>
      <c r="B49" s="184" t="s">
        <v>430</v>
      </c>
      <c r="C49" s="185">
        <v>33.4</v>
      </c>
      <c r="D49" s="209"/>
      <c r="E49" s="209"/>
      <c r="F49" s="209">
        <v>0.3</v>
      </c>
      <c r="G49" s="209">
        <v>33.5</v>
      </c>
      <c r="H49" s="209">
        <v>33.1</v>
      </c>
      <c r="I49" s="209"/>
      <c r="J49" s="209"/>
      <c r="K49" s="209"/>
      <c r="L49" s="209"/>
      <c r="M49" s="213"/>
      <c r="N49" s="191">
        <f t="shared" si="9"/>
        <v>-0.3</v>
      </c>
      <c r="O49" s="213"/>
      <c r="P49" s="193"/>
      <c r="Q49" s="213"/>
      <c r="R49" s="213"/>
      <c r="S49" s="213"/>
      <c r="T49" s="213"/>
      <c r="U49" s="193">
        <f t="shared" si="7"/>
        <v>0</v>
      </c>
      <c r="V49" s="193"/>
      <c r="W49" s="193"/>
      <c r="X49" s="195"/>
      <c r="Y49" s="215"/>
      <c r="Z49" s="271">
        <f t="shared" si="8"/>
        <v>0</v>
      </c>
    </row>
    <row r="50" spans="1:26" ht="31.5" x14ac:dyDescent="0.25">
      <c r="A50" s="262" t="s">
        <v>431</v>
      </c>
      <c r="B50" s="184" t="s">
        <v>432</v>
      </c>
      <c r="C50" s="185"/>
      <c r="D50" s="209"/>
      <c r="E50" s="209"/>
      <c r="F50" s="209"/>
      <c r="G50" s="209">
        <v>10</v>
      </c>
      <c r="H50" s="209">
        <v>0</v>
      </c>
      <c r="I50" s="209"/>
      <c r="J50" s="209"/>
      <c r="K50" s="209"/>
      <c r="L50" s="209"/>
      <c r="M50" s="213">
        <v>0</v>
      </c>
      <c r="N50" s="191">
        <f t="shared" si="9"/>
        <v>0</v>
      </c>
      <c r="O50" s="213"/>
      <c r="P50" s="193"/>
      <c r="Q50" s="213"/>
      <c r="R50" s="213"/>
      <c r="S50" s="213"/>
      <c r="T50" s="213">
        <f>21.4+7.1</f>
        <v>28.5</v>
      </c>
      <c r="U50" s="193">
        <f t="shared" si="7"/>
        <v>28.5</v>
      </c>
      <c r="V50" s="193"/>
      <c r="W50" s="193"/>
      <c r="X50" s="195"/>
      <c r="Y50" s="215"/>
      <c r="Z50" s="271">
        <f t="shared" si="8"/>
        <v>28.5</v>
      </c>
    </row>
    <row r="51" spans="1:26" s="178" customFormat="1" x14ac:dyDescent="0.25">
      <c r="A51" s="263" t="s">
        <v>433</v>
      </c>
      <c r="B51" s="180" t="s">
        <v>434</v>
      </c>
      <c r="C51" s="181">
        <f>C52+C53+C54+C55+C56+C57+C58+C59+C60+C61+C62+C63+C64+C65+C66+C67+C68+C69</f>
        <v>2790.0999999999995</v>
      </c>
      <c r="D51" s="181">
        <f t="shared" ref="D51:J51" si="16">D52+D53+D54+D55+D56+D57+D58+D59+D60+D61+D62+D63+D64+D65+D66+D67+D68+D69</f>
        <v>1732.0000000000002</v>
      </c>
      <c r="E51" s="181">
        <f t="shared" si="16"/>
        <v>27</v>
      </c>
      <c r="F51" s="181">
        <f t="shared" si="16"/>
        <v>141.69999999999999</v>
      </c>
      <c r="G51" s="181">
        <f t="shared" si="16"/>
        <v>2934.2999999999997</v>
      </c>
      <c r="H51" s="181">
        <f t="shared" si="16"/>
        <v>2718.5</v>
      </c>
      <c r="I51" s="181">
        <f t="shared" si="16"/>
        <v>0</v>
      </c>
      <c r="J51" s="181">
        <f t="shared" si="16"/>
        <v>0</v>
      </c>
      <c r="K51" s="181"/>
      <c r="L51" s="181">
        <f t="shared" ref="L51:Y51" si="17">L52+L53+L54+L55+L56+L57+L58+L59+L60+L61+L62+L63+L64+L65+L66</f>
        <v>0</v>
      </c>
      <c r="M51" s="182">
        <f>M52+M53+M54+M55+M56+M57+M58+M59+M60+M61+M62+M63+M64+M65+M66+M67+M68+M69+M70</f>
        <v>1969.6</v>
      </c>
      <c r="N51" s="221">
        <f>N52+N53+N54+N55+N56+N57+N58+N59+N60+N61+N62+N63+N64+N65+N66+N67+N68+N69+N70</f>
        <v>95.899999999999991</v>
      </c>
      <c r="O51" s="182">
        <f>O52+O53+O54+O55+O56+O57+O58+O59+O60+O61+O62+O63+O64+O65+O66+O67+O68+O69+O70</f>
        <v>9</v>
      </c>
      <c r="P51" s="182">
        <f t="shared" ref="P51" si="18">P52+P53+P54+P55+P56+P57+P58+P59+P60+P61+P62+P63+P64+P65+P66+P67+P68+P69</f>
        <v>0</v>
      </c>
      <c r="Q51" s="182">
        <f>Q52+Q53+Q54+Q55+Q56+Q57+Q58+Q59+Q60+Q61+Q62+Q63+Q64+Q65+Q66+Q67+Q68+Q69+Q70</f>
        <v>0</v>
      </c>
      <c r="R51" s="182">
        <f>R52+R53+R54+R55+R56+R57+R58+R59+R60+R61+R62+R63+R64+R65+R66+R67+R68+R69+R70</f>
        <v>713.4</v>
      </c>
      <c r="S51" s="182">
        <f>S52+S53+S54+S55+S56+S57+S58+S59+S60+S61+S62+S63+S64+S65+S66+S67+S68+S69+S70</f>
        <v>242.1</v>
      </c>
      <c r="T51" s="182">
        <f>T52+T53+T54+T55+T56+T57+T58+T59+T60+T61+T62+T63+T64+T65+T66+T67+T68+T69+T70</f>
        <v>86.5</v>
      </c>
      <c r="U51" s="182">
        <f>Q51+R51+S51+T51</f>
        <v>1042</v>
      </c>
      <c r="V51" s="182">
        <f>V52+V53+V54+V55+V56+V57+V58+V59+V60+V61+V62+V63+V64+V65+V66+V67+V68+V69+V70</f>
        <v>0</v>
      </c>
      <c r="W51" s="182">
        <f>W52+W53+W54+W55+W56+W57+W58+W59+W60+W61+W62+W63+W64+W65+W66+W67+W68+W69+W70</f>
        <v>0</v>
      </c>
      <c r="X51" s="182">
        <f t="shared" si="17"/>
        <v>0</v>
      </c>
      <c r="Y51" s="182">
        <f t="shared" si="17"/>
        <v>0</v>
      </c>
      <c r="Z51" s="233">
        <f>M51+O51+U51+V51+W51+X51</f>
        <v>3020.6</v>
      </c>
    </row>
    <row r="52" spans="1:26" ht="27.75" customHeight="1" x14ac:dyDescent="0.25">
      <c r="A52" s="262" t="s">
        <v>435</v>
      </c>
      <c r="B52" s="184" t="s">
        <v>436</v>
      </c>
      <c r="C52" s="185">
        <v>409.9</v>
      </c>
      <c r="D52" s="209">
        <v>285.8</v>
      </c>
      <c r="E52" s="209">
        <v>27</v>
      </c>
      <c r="F52" s="209">
        <v>79.400000000000006</v>
      </c>
      <c r="G52" s="209">
        <v>428.4</v>
      </c>
      <c r="H52" s="209">
        <v>379.3</v>
      </c>
      <c r="I52" s="209"/>
      <c r="J52" s="209"/>
      <c r="K52" s="214" t="s">
        <v>437</v>
      </c>
      <c r="L52" s="226"/>
      <c r="M52" s="212">
        <v>349.1</v>
      </c>
      <c r="N52" s="191">
        <f t="shared" si="9"/>
        <v>-16.099999999999994</v>
      </c>
      <c r="O52" s="213">
        <v>9</v>
      </c>
      <c r="P52" s="193"/>
      <c r="Q52" s="213"/>
      <c r="R52" s="213"/>
      <c r="S52" s="213">
        <v>17.7</v>
      </c>
      <c r="T52" s="213"/>
      <c r="U52" s="193">
        <f t="shared" si="7"/>
        <v>17.7</v>
      </c>
      <c r="V52" s="193"/>
      <c r="W52" s="193"/>
      <c r="X52" s="195"/>
      <c r="Y52" s="215"/>
      <c r="Z52" s="271">
        <f t="shared" si="8"/>
        <v>375.8</v>
      </c>
    </row>
    <row r="53" spans="1:26" ht="25.5" customHeight="1" x14ac:dyDescent="0.25">
      <c r="A53" s="262" t="s">
        <v>438</v>
      </c>
      <c r="B53" s="184" t="s">
        <v>439</v>
      </c>
      <c r="C53" s="185">
        <v>550.20000000000005</v>
      </c>
      <c r="D53" s="209">
        <v>373.6</v>
      </c>
      <c r="E53" s="209"/>
      <c r="F53" s="209">
        <v>36.6</v>
      </c>
      <c r="G53" s="209">
        <v>650.20000000000005</v>
      </c>
      <c r="H53" s="209">
        <v>650.20000000000005</v>
      </c>
      <c r="I53" s="209"/>
      <c r="J53" s="209"/>
      <c r="K53" s="223" t="s">
        <v>791</v>
      </c>
      <c r="L53" s="226"/>
      <c r="M53" s="212">
        <v>400</v>
      </c>
      <c r="N53" s="191">
        <f t="shared" si="9"/>
        <v>-10.200000000000024</v>
      </c>
      <c r="O53" s="213"/>
      <c r="P53" s="193"/>
      <c r="Q53" s="213"/>
      <c r="R53" s="213">
        <v>206.4</v>
      </c>
      <c r="S53" s="213"/>
      <c r="T53" s="213"/>
      <c r="U53" s="193">
        <f t="shared" si="7"/>
        <v>206.4</v>
      </c>
      <c r="V53" s="193"/>
      <c r="W53" s="193"/>
      <c r="X53" s="195"/>
      <c r="Y53" s="195"/>
      <c r="Z53" s="271">
        <f t="shared" si="8"/>
        <v>606.4</v>
      </c>
    </row>
    <row r="54" spans="1:26" ht="27.75" customHeight="1" x14ac:dyDescent="0.25">
      <c r="A54" s="262" t="s">
        <v>440</v>
      </c>
      <c r="B54" s="184" t="s">
        <v>441</v>
      </c>
      <c r="C54" s="185">
        <v>182.7</v>
      </c>
      <c r="D54" s="209">
        <v>158.69999999999999</v>
      </c>
      <c r="E54" s="209"/>
      <c r="F54" s="209">
        <v>24</v>
      </c>
      <c r="G54" s="209">
        <v>191.6</v>
      </c>
      <c r="H54" s="209">
        <v>190.1</v>
      </c>
      <c r="I54" s="209"/>
      <c r="J54" s="209"/>
      <c r="K54" s="214" t="s">
        <v>792</v>
      </c>
      <c r="L54" s="226"/>
      <c r="M54" s="212">
        <v>205.1</v>
      </c>
      <c r="N54" s="191">
        <f t="shared" si="9"/>
        <v>22.400000000000006</v>
      </c>
      <c r="O54" s="213"/>
      <c r="P54" s="193"/>
      <c r="Q54" s="213"/>
      <c r="R54" s="213"/>
      <c r="S54" s="213"/>
      <c r="T54" s="213"/>
      <c r="U54" s="193">
        <f t="shared" si="7"/>
        <v>0</v>
      </c>
      <c r="V54" s="193"/>
      <c r="W54" s="193"/>
      <c r="X54" s="195"/>
      <c r="Y54" s="195"/>
      <c r="Z54" s="271">
        <f t="shared" si="8"/>
        <v>205.1</v>
      </c>
    </row>
    <row r="55" spans="1:26" ht="37.5" customHeight="1" x14ac:dyDescent="0.25">
      <c r="A55" s="262" t="s">
        <v>442</v>
      </c>
      <c r="B55" s="184" t="s">
        <v>443</v>
      </c>
      <c r="C55" s="185">
        <v>282.39999999999998</v>
      </c>
      <c r="D55" s="207">
        <v>16.7</v>
      </c>
      <c r="E55" s="207"/>
      <c r="F55" s="207">
        <v>1.7</v>
      </c>
      <c r="G55" s="207">
        <v>333</v>
      </c>
      <c r="H55" s="207">
        <v>333</v>
      </c>
      <c r="I55" s="202"/>
      <c r="J55" s="202"/>
      <c r="K55" s="214" t="s">
        <v>444</v>
      </c>
      <c r="L55" s="218"/>
      <c r="M55" s="193">
        <v>18.399999999999999</v>
      </c>
      <c r="N55" s="191">
        <f t="shared" si="9"/>
        <v>0</v>
      </c>
      <c r="O55" s="193"/>
      <c r="P55" s="193"/>
      <c r="Q55" s="193"/>
      <c r="R55" s="193">
        <v>344</v>
      </c>
      <c r="S55" s="193"/>
      <c r="T55" s="193"/>
      <c r="U55" s="193">
        <f t="shared" si="7"/>
        <v>344</v>
      </c>
      <c r="V55" s="193"/>
      <c r="W55" s="193"/>
      <c r="X55" s="195"/>
      <c r="Y55" s="195"/>
      <c r="Z55" s="271">
        <f t="shared" si="8"/>
        <v>362.4</v>
      </c>
    </row>
    <row r="56" spans="1:26" ht="26.25" customHeight="1" x14ac:dyDescent="0.25">
      <c r="A56" s="262" t="s">
        <v>445</v>
      </c>
      <c r="B56" s="184" t="s">
        <v>446</v>
      </c>
      <c r="C56" s="224">
        <v>700</v>
      </c>
      <c r="D56" s="209">
        <v>700</v>
      </c>
      <c r="E56" s="209"/>
      <c r="F56" s="209"/>
      <c r="G56" s="209">
        <v>664</v>
      </c>
      <c r="H56" s="209">
        <v>597.6</v>
      </c>
      <c r="I56" s="209"/>
      <c r="J56" s="209"/>
      <c r="K56" s="214" t="s">
        <v>447</v>
      </c>
      <c r="L56" s="211"/>
      <c r="M56" s="213">
        <v>750</v>
      </c>
      <c r="N56" s="191">
        <f t="shared" si="9"/>
        <v>50</v>
      </c>
      <c r="O56" s="213"/>
      <c r="P56" s="193"/>
      <c r="Q56" s="213"/>
      <c r="R56" s="213"/>
      <c r="S56" s="213"/>
      <c r="T56" s="213"/>
      <c r="U56" s="193">
        <f t="shared" si="7"/>
        <v>0</v>
      </c>
      <c r="V56" s="193"/>
      <c r="W56" s="193"/>
      <c r="X56" s="195"/>
      <c r="Y56" s="195"/>
      <c r="Z56" s="271">
        <f t="shared" si="8"/>
        <v>750</v>
      </c>
    </row>
    <row r="57" spans="1:26" hidden="1" x14ac:dyDescent="0.25">
      <c r="A57" s="262" t="s">
        <v>448</v>
      </c>
      <c r="B57" s="184" t="s">
        <v>449</v>
      </c>
      <c r="C57" s="185"/>
      <c r="D57" s="209"/>
      <c r="E57" s="209"/>
      <c r="F57" s="209"/>
      <c r="G57" s="209"/>
      <c r="H57" s="209"/>
      <c r="I57" s="209"/>
      <c r="J57" s="209"/>
      <c r="K57" s="210"/>
      <c r="L57" s="211"/>
      <c r="M57" s="212"/>
      <c r="N57" s="191">
        <f t="shared" si="9"/>
        <v>0</v>
      </c>
      <c r="O57" s="213"/>
      <c r="P57" s="193"/>
      <c r="Q57" s="213"/>
      <c r="R57" s="213"/>
      <c r="S57" s="213"/>
      <c r="T57" s="213"/>
      <c r="U57" s="193">
        <f t="shared" si="7"/>
        <v>0</v>
      </c>
      <c r="V57" s="193"/>
      <c r="W57" s="193"/>
      <c r="X57" s="195"/>
      <c r="Y57" s="195"/>
      <c r="Z57" s="271">
        <f t="shared" si="8"/>
        <v>0</v>
      </c>
    </row>
    <row r="58" spans="1:26" hidden="1" x14ac:dyDescent="0.25">
      <c r="A58" s="262" t="s">
        <v>450</v>
      </c>
      <c r="B58" s="184" t="s">
        <v>451</v>
      </c>
      <c r="C58" s="227">
        <v>0</v>
      </c>
      <c r="D58" s="228"/>
      <c r="E58" s="209"/>
      <c r="F58" s="209"/>
      <c r="G58" s="209"/>
      <c r="H58" s="209"/>
      <c r="I58" s="209"/>
      <c r="J58" s="209"/>
      <c r="K58" s="210"/>
      <c r="L58" s="211"/>
      <c r="M58" s="212"/>
      <c r="N58" s="191">
        <f t="shared" si="9"/>
        <v>0</v>
      </c>
      <c r="O58" s="213"/>
      <c r="P58" s="193"/>
      <c r="Q58" s="213"/>
      <c r="R58" s="213"/>
      <c r="S58" s="213"/>
      <c r="T58" s="213"/>
      <c r="U58" s="193">
        <f t="shared" si="7"/>
        <v>0</v>
      </c>
      <c r="V58" s="193"/>
      <c r="W58" s="193"/>
      <c r="X58" s="195"/>
      <c r="Y58" s="195"/>
      <c r="Z58" s="271">
        <f t="shared" si="8"/>
        <v>0</v>
      </c>
    </row>
    <row r="59" spans="1:26" hidden="1" x14ac:dyDescent="0.25">
      <c r="A59" s="262" t="s">
        <v>452</v>
      </c>
      <c r="B59" s="184" t="s">
        <v>453</v>
      </c>
      <c r="C59" s="229">
        <v>0</v>
      </c>
      <c r="D59" s="209"/>
      <c r="E59" s="209"/>
      <c r="F59" s="209"/>
      <c r="G59" s="209"/>
      <c r="H59" s="209"/>
      <c r="I59" s="209"/>
      <c r="J59" s="209"/>
      <c r="K59" s="210"/>
      <c r="L59" s="209"/>
      <c r="M59" s="212"/>
      <c r="N59" s="191">
        <f t="shared" si="9"/>
        <v>0</v>
      </c>
      <c r="O59" s="213"/>
      <c r="P59" s="193"/>
      <c r="Q59" s="213"/>
      <c r="R59" s="213"/>
      <c r="S59" s="213"/>
      <c r="T59" s="213"/>
      <c r="U59" s="193">
        <f t="shared" si="7"/>
        <v>0</v>
      </c>
      <c r="V59" s="193"/>
      <c r="W59" s="193"/>
      <c r="X59" s="195"/>
      <c r="Y59" s="195"/>
      <c r="Z59" s="271">
        <f t="shared" si="8"/>
        <v>0</v>
      </c>
    </row>
    <row r="60" spans="1:26" ht="27.75" customHeight="1" x14ac:dyDescent="0.25">
      <c r="A60" s="262" t="s">
        <v>454</v>
      </c>
      <c r="B60" s="184" t="s">
        <v>455</v>
      </c>
      <c r="C60" s="185">
        <v>197.6</v>
      </c>
      <c r="D60" s="209">
        <v>63</v>
      </c>
      <c r="E60" s="209"/>
      <c r="F60" s="209"/>
      <c r="G60" s="209">
        <v>197.6</v>
      </c>
      <c r="H60" s="209">
        <v>179.4</v>
      </c>
      <c r="I60" s="209"/>
      <c r="J60" s="209"/>
      <c r="K60" s="214" t="s">
        <v>456</v>
      </c>
      <c r="L60" s="211"/>
      <c r="M60" s="212">
        <v>65</v>
      </c>
      <c r="N60" s="191">
        <f t="shared" si="9"/>
        <v>2</v>
      </c>
      <c r="O60" s="213"/>
      <c r="P60" s="193"/>
      <c r="Q60" s="213"/>
      <c r="R60" s="213">
        <v>134.6</v>
      </c>
      <c r="S60" s="213"/>
      <c r="T60" s="213"/>
      <c r="U60" s="193">
        <f t="shared" si="7"/>
        <v>134.6</v>
      </c>
      <c r="V60" s="193"/>
      <c r="W60" s="193"/>
      <c r="X60" s="195"/>
      <c r="Y60" s="195"/>
      <c r="Z60" s="271">
        <f t="shared" si="8"/>
        <v>199.6</v>
      </c>
    </row>
    <row r="61" spans="1:26" s="178" customFormat="1" ht="29.25" customHeight="1" x14ac:dyDescent="0.25">
      <c r="A61" s="262" t="s">
        <v>457</v>
      </c>
      <c r="B61" s="184" t="s">
        <v>458</v>
      </c>
      <c r="C61" s="224">
        <v>2</v>
      </c>
      <c r="D61" s="209">
        <v>2</v>
      </c>
      <c r="E61" s="209"/>
      <c r="F61" s="209"/>
      <c r="G61" s="209">
        <v>2</v>
      </c>
      <c r="H61" s="209">
        <v>0</v>
      </c>
      <c r="I61" s="225"/>
      <c r="J61" s="225"/>
      <c r="K61" s="199" t="s">
        <v>459</v>
      </c>
      <c r="L61" s="225"/>
      <c r="M61" s="212">
        <v>3</v>
      </c>
      <c r="N61" s="191">
        <f t="shared" si="9"/>
        <v>1</v>
      </c>
      <c r="O61" s="213"/>
      <c r="P61" s="193"/>
      <c r="Q61" s="212"/>
      <c r="R61" s="212"/>
      <c r="S61" s="212"/>
      <c r="T61" s="212"/>
      <c r="U61" s="193">
        <f t="shared" si="7"/>
        <v>0</v>
      </c>
      <c r="V61" s="193"/>
      <c r="W61" s="193"/>
      <c r="X61" s="195"/>
      <c r="Y61" s="195"/>
      <c r="Z61" s="271">
        <f t="shared" si="8"/>
        <v>3</v>
      </c>
    </row>
    <row r="62" spans="1:26" ht="31.5" hidden="1" x14ac:dyDescent="0.25">
      <c r="A62" s="262" t="s">
        <v>460</v>
      </c>
      <c r="B62" s="184" t="s">
        <v>461</v>
      </c>
      <c r="C62" s="207"/>
      <c r="D62" s="209"/>
      <c r="E62" s="209"/>
      <c r="F62" s="209"/>
      <c r="G62" s="209"/>
      <c r="H62" s="209"/>
      <c r="I62" s="209"/>
      <c r="J62" s="209"/>
      <c r="K62" s="210"/>
      <c r="L62" s="211"/>
      <c r="M62" s="212"/>
      <c r="N62" s="191">
        <f t="shared" si="9"/>
        <v>0</v>
      </c>
      <c r="O62" s="213"/>
      <c r="P62" s="193"/>
      <c r="Q62" s="213"/>
      <c r="R62" s="213"/>
      <c r="S62" s="213"/>
      <c r="T62" s="213"/>
      <c r="U62" s="193">
        <f t="shared" si="7"/>
        <v>0</v>
      </c>
      <c r="V62" s="193"/>
      <c r="W62" s="193"/>
      <c r="X62" s="195"/>
      <c r="Y62" s="195"/>
      <c r="Z62" s="271">
        <f t="shared" si="8"/>
        <v>0</v>
      </c>
    </row>
    <row r="63" spans="1:26" ht="28.5" customHeight="1" x14ac:dyDescent="0.25">
      <c r="A63" s="262" t="s">
        <v>462</v>
      </c>
      <c r="B63" s="184" t="s">
        <v>463</v>
      </c>
      <c r="C63" s="185">
        <v>2.2000000000000002</v>
      </c>
      <c r="D63" s="209">
        <v>2.2000000000000002</v>
      </c>
      <c r="E63" s="209"/>
      <c r="F63" s="209"/>
      <c r="G63" s="209">
        <v>2.2000000000000002</v>
      </c>
      <c r="H63" s="209">
        <v>1.1000000000000001</v>
      </c>
      <c r="I63" s="209"/>
      <c r="J63" s="209"/>
      <c r="K63" s="223" t="s">
        <v>464</v>
      </c>
      <c r="L63" s="211"/>
      <c r="M63" s="212">
        <v>2.2000000000000002</v>
      </c>
      <c r="N63" s="191">
        <f t="shared" si="9"/>
        <v>0</v>
      </c>
      <c r="O63" s="213"/>
      <c r="P63" s="193"/>
      <c r="Q63" s="213"/>
      <c r="R63" s="213"/>
      <c r="S63" s="213"/>
      <c r="T63" s="213"/>
      <c r="U63" s="193">
        <f t="shared" si="7"/>
        <v>0</v>
      </c>
      <c r="V63" s="193"/>
      <c r="W63" s="193"/>
      <c r="X63" s="195"/>
      <c r="Y63" s="195"/>
      <c r="Z63" s="271">
        <f t="shared" si="8"/>
        <v>2.2000000000000002</v>
      </c>
    </row>
    <row r="64" spans="1:26" ht="24" customHeight="1" x14ac:dyDescent="0.25">
      <c r="A64" s="262" t="s">
        <v>465</v>
      </c>
      <c r="B64" s="184" t="s">
        <v>466</v>
      </c>
      <c r="C64" s="185">
        <v>220.4</v>
      </c>
      <c r="D64" s="209">
        <v>77.5</v>
      </c>
      <c r="E64" s="209"/>
      <c r="F64" s="209"/>
      <c r="G64" s="209">
        <v>236.1</v>
      </c>
      <c r="H64" s="209">
        <v>234.8</v>
      </c>
      <c r="I64" s="209"/>
      <c r="J64" s="209"/>
      <c r="K64" s="199" t="s">
        <v>793</v>
      </c>
      <c r="L64" s="211"/>
      <c r="M64" s="212">
        <v>131.5</v>
      </c>
      <c r="N64" s="191">
        <f t="shared" si="9"/>
        <v>54</v>
      </c>
      <c r="O64" s="213"/>
      <c r="P64" s="193"/>
      <c r="Q64" s="213"/>
      <c r="R64" s="213"/>
      <c r="S64" s="213">
        <v>162</v>
      </c>
      <c r="T64" s="213"/>
      <c r="U64" s="193">
        <f t="shared" si="7"/>
        <v>162</v>
      </c>
      <c r="V64" s="193"/>
      <c r="W64" s="193"/>
      <c r="X64" s="195"/>
      <c r="Y64" s="195"/>
      <c r="Z64" s="271">
        <f t="shared" si="8"/>
        <v>293.5</v>
      </c>
    </row>
    <row r="65" spans="1:26" ht="20.25" customHeight="1" x14ac:dyDescent="0.25">
      <c r="A65" s="262" t="s">
        <v>467</v>
      </c>
      <c r="B65" s="184" t="s">
        <v>468</v>
      </c>
      <c r="C65" s="185">
        <v>28.4</v>
      </c>
      <c r="D65" s="209"/>
      <c r="E65" s="209"/>
      <c r="F65" s="209"/>
      <c r="G65" s="209">
        <v>28.4</v>
      </c>
      <c r="H65" s="209">
        <v>28.1</v>
      </c>
      <c r="I65" s="209"/>
      <c r="J65" s="209"/>
      <c r="K65" s="199"/>
      <c r="L65" s="211"/>
      <c r="M65" s="212">
        <v>0</v>
      </c>
      <c r="N65" s="191">
        <f t="shared" si="9"/>
        <v>0</v>
      </c>
      <c r="O65" s="213"/>
      <c r="P65" s="193"/>
      <c r="Q65" s="213"/>
      <c r="R65" s="213">
        <v>28.4</v>
      </c>
      <c r="S65" s="213"/>
      <c r="T65" s="213"/>
      <c r="U65" s="193">
        <f t="shared" si="7"/>
        <v>28.4</v>
      </c>
      <c r="V65" s="193"/>
      <c r="W65" s="193"/>
      <c r="X65" s="195"/>
      <c r="Y65" s="195"/>
      <c r="Z65" s="271">
        <f t="shared" si="8"/>
        <v>28.4</v>
      </c>
    </row>
    <row r="66" spans="1:26" ht="31.5" x14ac:dyDescent="0.25">
      <c r="A66" s="262" t="s">
        <v>469</v>
      </c>
      <c r="B66" s="230" t="s">
        <v>470</v>
      </c>
      <c r="C66" s="185">
        <v>63.6</v>
      </c>
      <c r="D66" s="209"/>
      <c r="E66" s="209"/>
      <c r="F66" s="209"/>
      <c r="G66" s="209">
        <v>63.6</v>
      </c>
      <c r="H66" s="209">
        <v>36.700000000000003</v>
      </c>
      <c r="I66" s="209"/>
      <c r="J66" s="209"/>
      <c r="K66" s="199"/>
      <c r="L66" s="211"/>
      <c r="M66" s="212">
        <v>0</v>
      </c>
      <c r="N66" s="191">
        <f t="shared" si="9"/>
        <v>0</v>
      </c>
      <c r="O66" s="213"/>
      <c r="P66" s="193"/>
      <c r="Q66" s="213"/>
      <c r="R66" s="213"/>
      <c r="S66" s="213">
        <v>38</v>
      </c>
      <c r="T66" s="213"/>
      <c r="U66" s="193">
        <f t="shared" si="7"/>
        <v>38</v>
      </c>
      <c r="V66" s="193"/>
      <c r="W66" s="193"/>
      <c r="X66" s="195"/>
      <c r="Y66" s="195"/>
      <c r="Z66" s="271">
        <f t="shared" si="8"/>
        <v>38</v>
      </c>
    </row>
    <row r="67" spans="1:26" ht="30" customHeight="1" x14ac:dyDescent="0.25">
      <c r="A67" s="262" t="s">
        <v>471</v>
      </c>
      <c r="B67" s="230" t="s">
        <v>472</v>
      </c>
      <c r="C67" s="185">
        <v>98.7</v>
      </c>
      <c r="D67" s="209">
        <v>52.5</v>
      </c>
      <c r="E67" s="209"/>
      <c r="F67" s="209"/>
      <c r="G67" s="209">
        <v>77.900000000000006</v>
      </c>
      <c r="H67" s="209">
        <v>46.3</v>
      </c>
      <c r="I67" s="209"/>
      <c r="J67" s="209"/>
      <c r="K67" s="199" t="s">
        <v>473</v>
      </c>
      <c r="L67" s="211"/>
      <c r="M67" s="213">
        <v>45.3</v>
      </c>
      <c r="N67" s="191">
        <f t="shared" si="9"/>
        <v>-7.2000000000000028</v>
      </c>
      <c r="O67" s="213"/>
      <c r="P67" s="193"/>
      <c r="Q67" s="213"/>
      <c r="R67" s="213"/>
      <c r="S67" s="213"/>
      <c r="T67" s="213">
        <f>37.7+6.7</f>
        <v>44.400000000000006</v>
      </c>
      <c r="U67" s="193">
        <f t="shared" si="7"/>
        <v>44.400000000000006</v>
      </c>
      <c r="V67" s="193"/>
      <c r="W67" s="193"/>
      <c r="X67" s="195"/>
      <c r="Y67" s="195"/>
      <c r="Z67" s="271">
        <f t="shared" si="8"/>
        <v>89.7</v>
      </c>
    </row>
    <row r="68" spans="1:26" x14ac:dyDescent="0.25">
      <c r="A68" s="262" t="s">
        <v>474</v>
      </c>
      <c r="B68" s="231" t="s">
        <v>475</v>
      </c>
      <c r="C68" s="185">
        <v>23</v>
      </c>
      <c r="D68" s="209"/>
      <c r="E68" s="209"/>
      <c r="F68" s="209"/>
      <c r="G68" s="209">
        <v>17.8</v>
      </c>
      <c r="H68" s="209">
        <v>16.600000000000001</v>
      </c>
      <c r="I68" s="209"/>
      <c r="J68" s="209"/>
      <c r="K68" s="199"/>
      <c r="L68" s="211"/>
      <c r="M68" s="213">
        <v>0</v>
      </c>
      <c r="N68" s="191">
        <f t="shared" si="9"/>
        <v>0</v>
      </c>
      <c r="O68" s="213"/>
      <c r="P68" s="193"/>
      <c r="Q68" s="213"/>
      <c r="R68" s="213"/>
      <c r="S68" s="213">
        <v>24.4</v>
      </c>
      <c r="T68" s="213"/>
      <c r="U68" s="193">
        <f t="shared" si="7"/>
        <v>24.4</v>
      </c>
      <c r="V68" s="193"/>
      <c r="W68" s="193"/>
      <c r="X68" s="195"/>
      <c r="Y68" s="195"/>
      <c r="Z68" s="271">
        <f t="shared" si="8"/>
        <v>24.4</v>
      </c>
    </row>
    <row r="69" spans="1:26" x14ac:dyDescent="0.25">
      <c r="A69" s="262" t="s">
        <v>476</v>
      </c>
      <c r="B69" s="231" t="s">
        <v>477</v>
      </c>
      <c r="C69" s="185">
        <v>29</v>
      </c>
      <c r="D69" s="209"/>
      <c r="E69" s="209"/>
      <c r="F69" s="209"/>
      <c r="G69" s="209">
        <v>41.5</v>
      </c>
      <c r="H69" s="209">
        <v>25.3</v>
      </c>
      <c r="I69" s="209"/>
      <c r="J69" s="209"/>
      <c r="K69" s="199" t="s">
        <v>478</v>
      </c>
      <c r="L69" s="211"/>
      <c r="M69" s="213">
        <f>3.2-3.2</f>
        <v>0</v>
      </c>
      <c r="N69" s="191">
        <f t="shared" si="9"/>
        <v>0</v>
      </c>
      <c r="O69" s="213"/>
      <c r="P69" s="193"/>
      <c r="Q69" s="213"/>
      <c r="R69" s="213"/>
      <c r="S69" s="213"/>
      <c r="T69" s="213">
        <f>35.7+6.4</f>
        <v>42.1</v>
      </c>
      <c r="U69" s="193">
        <f t="shared" si="7"/>
        <v>42.1</v>
      </c>
      <c r="V69" s="193"/>
      <c r="W69" s="193"/>
      <c r="X69" s="195"/>
      <c r="Y69" s="195"/>
      <c r="Z69" s="271">
        <f t="shared" si="8"/>
        <v>42.1</v>
      </c>
    </row>
    <row r="70" spans="1:26" ht="31.5" hidden="1" x14ac:dyDescent="0.25">
      <c r="A70" s="262" t="s">
        <v>479</v>
      </c>
      <c r="B70" s="231" t="s">
        <v>480</v>
      </c>
      <c r="C70" s="185"/>
      <c r="D70" s="209"/>
      <c r="E70" s="209"/>
      <c r="F70" s="209"/>
      <c r="G70" s="209"/>
      <c r="H70" s="209"/>
      <c r="I70" s="209"/>
      <c r="J70" s="209"/>
      <c r="K70" s="199" t="s">
        <v>481</v>
      </c>
      <c r="L70" s="211"/>
      <c r="M70" s="213">
        <f>13.5+58.7-72.2</f>
        <v>0</v>
      </c>
      <c r="N70" s="191">
        <f t="shared" si="9"/>
        <v>0</v>
      </c>
      <c r="O70" s="213"/>
      <c r="P70" s="193"/>
      <c r="Q70" s="213"/>
      <c r="R70" s="213"/>
      <c r="S70" s="213"/>
      <c r="T70" s="213"/>
      <c r="U70" s="193">
        <f t="shared" si="7"/>
        <v>0</v>
      </c>
      <c r="V70" s="193"/>
      <c r="W70" s="193"/>
      <c r="X70" s="195"/>
      <c r="Y70" s="195"/>
      <c r="Z70" s="259">
        <f t="shared" si="8"/>
        <v>0</v>
      </c>
    </row>
    <row r="71" spans="1:26" s="178" customFormat="1" x14ac:dyDescent="0.25">
      <c r="A71" s="263" t="s">
        <v>482</v>
      </c>
      <c r="B71" s="180" t="s">
        <v>483</v>
      </c>
      <c r="C71" s="181">
        <f>C72+C73+C74+C75+C76+C77+C78</f>
        <v>345.70000000000005</v>
      </c>
      <c r="D71" s="181">
        <f t="shared" ref="D71:H71" si="19">D72+D73+D74+D75+D76+D77+D78</f>
        <v>238</v>
      </c>
      <c r="E71" s="181">
        <f t="shared" si="19"/>
        <v>0</v>
      </c>
      <c r="F71" s="181">
        <f t="shared" si="19"/>
        <v>67</v>
      </c>
      <c r="G71" s="181">
        <f t="shared" si="19"/>
        <v>311.8</v>
      </c>
      <c r="H71" s="181">
        <f t="shared" si="19"/>
        <v>229</v>
      </c>
      <c r="I71" s="181">
        <f t="shared" ref="I71:J71" si="20">I72+I73+I74+I75+I76</f>
        <v>0</v>
      </c>
      <c r="J71" s="181">
        <f t="shared" si="20"/>
        <v>0</v>
      </c>
      <c r="K71" s="220"/>
      <c r="L71" s="181">
        <f t="shared" ref="L71:Y71" si="21">L72+L73+L74+L75+L76</f>
        <v>0</v>
      </c>
      <c r="M71" s="182">
        <f>M72+M73+M74+M75+M76+M77+M78</f>
        <v>124</v>
      </c>
      <c r="N71" s="232">
        <f>N72+N73+N74+N75+N76+N77+N78</f>
        <v>-181</v>
      </c>
      <c r="O71" s="233">
        <f t="shared" ref="O71:T71" si="22">O72+O73+O74+O75+O76+O77+O78</f>
        <v>0</v>
      </c>
      <c r="P71" s="233">
        <f t="shared" si="22"/>
        <v>0</v>
      </c>
      <c r="Q71" s="233">
        <f t="shared" si="22"/>
        <v>0</v>
      </c>
      <c r="R71" s="233">
        <f t="shared" si="22"/>
        <v>40.699999999999996</v>
      </c>
      <c r="S71" s="233">
        <f t="shared" si="22"/>
        <v>0</v>
      </c>
      <c r="T71" s="233">
        <f t="shared" si="22"/>
        <v>0</v>
      </c>
      <c r="U71" s="182">
        <f>Q71+R71+S71+T71</f>
        <v>40.699999999999996</v>
      </c>
      <c r="V71" s="233">
        <f>V72+V73+V74+V75+V76+V77+V78</f>
        <v>0</v>
      </c>
      <c r="W71" s="233">
        <f>W72+W73+W74+W75+W76+W77+W78</f>
        <v>0</v>
      </c>
      <c r="X71" s="182">
        <f t="shared" si="21"/>
        <v>0</v>
      </c>
      <c r="Y71" s="182">
        <f t="shared" si="21"/>
        <v>0</v>
      </c>
      <c r="Z71" s="233">
        <f>M71+O71+U71+V71+W71+X71</f>
        <v>164.7</v>
      </c>
    </row>
    <row r="72" spans="1:26" ht="25.5" customHeight="1" x14ac:dyDescent="0.25">
      <c r="A72" s="262" t="s">
        <v>484</v>
      </c>
      <c r="B72" s="184" t="s">
        <v>485</v>
      </c>
      <c r="C72" s="185">
        <v>112</v>
      </c>
      <c r="D72" s="209">
        <v>45</v>
      </c>
      <c r="E72" s="209"/>
      <c r="F72" s="209">
        <v>67</v>
      </c>
      <c r="G72" s="209">
        <v>112</v>
      </c>
      <c r="H72" s="209">
        <v>111.7</v>
      </c>
      <c r="I72" s="209"/>
      <c r="J72" s="209"/>
      <c r="K72" s="214" t="s">
        <v>486</v>
      </c>
      <c r="L72" s="211"/>
      <c r="M72" s="212">
        <f>60-34</f>
        <v>26</v>
      </c>
      <c r="N72" s="191">
        <f t="shared" si="9"/>
        <v>-86</v>
      </c>
      <c r="O72" s="213"/>
      <c r="P72" s="193"/>
      <c r="Q72" s="213"/>
      <c r="R72" s="213"/>
      <c r="S72" s="213"/>
      <c r="T72" s="213"/>
      <c r="U72" s="193">
        <f t="shared" si="7"/>
        <v>0</v>
      </c>
      <c r="V72" s="193"/>
      <c r="W72" s="193"/>
      <c r="X72" s="195"/>
      <c r="Y72" s="196"/>
      <c r="Z72" s="271">
        <f t="shared" si="8"/>
        <v>26</v>
      </c>
    </row>
    <row r="73" spans="1:26" ht="27" customHeight="1" x14ac:dyDescent="0.25">
      <c r="A73" s="262" t="s">
        <v>487</v>
      </c>
      <c r="B73" s="184" t="s">
        <v>488</v>
      </c>
      <c r="C73" s="185">
        <v>100</v>
      </c>
      <c r="D73" s="209">
        <v>100</v>
      </c>
      <c r="E73" s="209"/>
      <c r="F73" s="209"/>
      <c r="G73" s="209">
        <v>32</v>
      </c>
      <c r="H73" s="209">
        <v>0</v>
      </c>
      <c r="I73" s="209"/>
      <c r="J73" s="209"/>
      <c r="K73" s="214" t="s">
        <v>489</v>
      </c>
      <c r="L73" s="211"/>
      <c r="M73" s="213">
        <f>100-50</f>
        <v>50</v>
      </c>
      <c r="N73" s="191">
        <f t="shared" si="9"/>
        <v>-50</v>
      </c>
      <c r="O73" s="213"/>
      <c r="P73" s="193"/>
      <c r="Q73" s="213"/>
      <c r="R73" s="213"/>
      <c r="S73" s="213"/>
      <c r="T73" s="213"/>
      <c r="U73" s="193">
        <f t="shared" si="7"/>
        <v>0</v>
      </c>
      <c r="V73" s="193"/>
      <c r="W73" s="193"/>
      <c r="X73" s="195"/>
      <c r="Y73" s="196"/>
      <c r="Z73" s="271">
        <f t="shared" si="8"/>
        <v>50</v>
      </c>
    </row>
    <row r="74" spans="1:26" x14ac:dyDescent="0.25">
      <c r="A74" s="262" t="s">
        <v>490</v>
      </c>
      <c r="B74" s="184" t="s">
        <v>491</v>
      </c>
      <c r="C74" s="185">
        <v>6.3</v>
      </c>
      <c r="D74" s="209"/>
      <c r="E74" s="209"/>
      <c r="F74" s="209"/>
      <c r="G74" s="209">
        <v>55.9</v>
      </c>
      <c r="H74" s="209">
        <v>53.4</v>
      </c>
      <c r="I74" s="209"/>
      <c r="J74" s="209"/>
      <c r="K74" s="223"/>
      <c r="L74" s="211"/>
      <c r="M74" s="212">
        <v>0</v>
      </c>
      <c r="N74" s="191">
        <f t="shared" si="9"/>
        <v>0</v>
      </c>
      <c r="O74" s="213"/>
      <c r="P74" s="193"/>
      <c r="Q74" s="213"/>
      <c r="R74" s="213">
        <v>6.3</v>
      </c>
      <c r="S74" s="213"/>
      <c r="T74" s="213"/>
      <c r="U74" s="193">
        <f t="shared" si="7"/>
        <v>6.3</v>
      </c>
      <c r="V74" s="193"/>
      <c r="W74" s="193"/>
      <c r="X74" s="195"/>
      <c r="Y74" s="196"/>
      <c r="Z74" s="271">
        <f t="shared" si="8"/>
        <v>6.3</v>
      </c>
    </row>
    <row r="75" spans="1:26" x14ac:dyDescent="0.25">
      <c r="A75" s="262" t="s">
        <v>492</v>
      </c>
      <c r="B75" s="184" t="s">
        <v>493</v>
      </c>
      <c r="C75" s="185">
        <v>34.4</v>
      </c>
      <c r="D75" s="209"/>
      <c r="E75" s="209"/>
      <c r="F75" s="209"/>
      <c r="G75" s="209">
        <v>18.899999999999999</v>
      </c>
      <c r="H75" s="209">
        <v>17.8</v>
      </c>
      <c r="I75" s="209"/>
      <c r="J75" s="209"/>
      <c r="K75" s="223"/>
      <c r="L75" s="211"/>
      <c r="M75" s="212">
        <v>0</v>
      </c>
      <c r="N75" s="191">
        <f t="shared" si="9"/>
        <v>0</v>
      </c>
      <c r="O75" s="213"/>
      <c r="P75" s="193"/>
      <c r="Q75" s="213"/>
      <c r="R75" s="213">
        <v>34.4</v>
      </c>
      <c r="S75" s="213"/>
      <c r="T75" s="213"/>
      <c r="U75" s="193">
        <f t="shared" si="7"/>
        <v>34.4</v>
      </c>
      <c r="V75" s="193"/>
      <c r="W75" s="193"/>
      <c r="X75" s="195"/>
      <c r="Y75" s="196"/>
      <c r="Z75" s="271">
        <f t="shared" si="8"/>
        <v>34.4</v>
      </c>
    </row>
    <row r="76" spans="1:26" x14ac:dyDescent="0.25">
      <c r="A76" s="262" t="s">
        <v>494</v>
      </c>
      <c r="B76" s="184" t="s">
        <v>495</v>
      </c>
      <c r="C76" s="185">
        <v>10</v>
      </c>
      <c r="D76" s="209">
        <v>10</v>
      </c>
      <c r="E76" s="209"/>
      <c r="F76" s="209"/>
      <c r="G76" s="209">
        <v>10</v>
      </c>
      <c r="H76" s="209">
        <v>9.4</v>
      </c>
      <c r="I76" s="209"/>
      <c r="J76" s="209"/>
      <c r="K76" s="208" t="s">
        <v>496</v>
      </c>
      <c r="L76" s="211"/>
      <c r="M76" s="212">
        <f>10-5</f>
        <v>5</v>
      </c>
      <c r="N76" s="191">
        <f t="shared" ref="N76:N78" si="23">M76-D76-F76</f>
        <v>-5</v>
      </c>
      <c r="O76" s="213"/>
      <c r="P76" s="193"/>
      <c r="Q76" s="213"/>
      <c r="R76" s="213"/>
      <c r="S76" s="213"/>
      <c r="T76" s="213"/>
      <c r="U76" s="193">
        <f t="shared" si="7"/>
        <v>0</v>
      </c>
      <c r="V76" s="193"/>
      <c r="W76" s="193"/>
      <c r="X76" s="195"/>
      <c r="Y76" s="196"/>
      <c r="Z76" s="271">
        <f t="shared" si="8"/>
        <v>5</v>
      </c>
    </row>
    <row r="77" spans="1:26" ht="25.5" customHeight="1" x14ac:dyDescent="0.25">
      <c r="A77" s="262" t="s">
        <v>497</v>
      </c>
      <c r="B77" s="184" t="s">
        <v>498</v>
      </c>
      <c r="C77" s="185">
        <v>1</v>
      </c>
      <c r="D77" s="209">
        <v>1</v>
      </c>
      <c r="E77" s="209"/>
      <c r="F77" s="209"/>
      <c r="G77" s="209">
        <v>1</v>
      </c>
      <c r="H77" s="209">
        <v>1</v>
      </c>
      <c r="I77" s="209"/>
      <c r="J77" s="209"/>
      <c r="K77" s="208" t="s">
        <v>499</v>
      </c>
      <c r="L77" s="211"/>
      <c r="M77" s="212">
        <v>1</v>
      </c>
      <c r="N77" s="191">
        <f t="shared" si="23"/>
        <v>0</v>
      </c>
      <c r="O77" s="213"/>
      <c r="P77" s="193"/>
      <c r="Q77" s="213"/>
      <c r="R77" s="213"/>
      <c r="S77" s="213"/>
      <c r="T77" s="213"/>
      <c r="U77" s="193">
        <f t="shared" si="7"/>
        <v>0</v>
      </c>
      <c r="V77" s="193"/>
      <c r="W77" s="193"/>
      <c r="X77" s="195"/>
      <c r="Y77" s="196"/>
      <c r="Z77" s="271">
        <f t="shared" si="8"/>
        <v>1</v>
      </c>
    </row>
    <row r="78" spans="1:26" ht="23.25" customHeight="1" x14ac:dyDescent="0.25">
      <c r="A78" s="262" t="s">
        <v>500</v>
      </c>
      <c r="B78" s="184" t="s">
        <v>501</v>
      </c>
      <c r="C78" s="185">
        <v>82</v>
      </c>
      <c r="D78" s="209">
        <v>82</v>
      </c>
      <c r="E78" s="209"/>
      <c r="F78" s="209"/>
      <c r="G78" s="209">
        <v>82</v>
      </c>
      <c r="H78" s="209">
        <v>35.700000000000003</v>
      </c>
      <c r="I78" s="209"/>
      <c r="J78" s="209"/>
      <c r="K78" s="219" t="s">
        <v>502</v>
      </c>
      <c r="L78" s="211"/>
      <c r="M78" s="213">
        <v>42</v>
      </c>
      <c r="N78" s="191">
        <f t="shared" si="23"/>
        <v>-40</v>
      </c>
      <c r="O78" s="213"/>
      <c r="P78" s="193"/>
      <c r="Q78" s="213"/>
      <c r="R78" s="213"/>
      <c r="S78" s="213"/>
      <c r="T78" s="213"/>
      <c r="U78" s="193">
        <f t="shared" si="7"/>
        <v>0</v>
      </c>
      <c r="V78" s="193"/>
      <c r="W78" s="193"/>
      <c r="X78" s="195"/>
      <c r="Y78" s="196"/>
      <c r="Z78" s="271">
        <f t="shared" si="8"/>
        <v>42</v>
      </c>
    </row>
    <row r="79" spans="1:26" s="178" customFormat="1" x14ac:dyDescent="0.25">
      <c r="A79" s="261" t="s">
        <v>503</v>
      </c>
      <c r="B79" s="174" t="s">
        <v>504</v>
      </c>
      <c r="C79" s="175">
        <f>C80</f>
        <v>10935.500000000002</v>
      </c>
      <c r="D79" s="175">
        <f t="shared" ref="D79:J79" si="24">D80</f>
        <v>7330.2999999999993</v>
      </c>
      <c r="E79" s="175">
        <f t="shared" si="24"/>
        <v>250</v>
      </c>
      <c r="F79" s="175">
        <f t="shared" si="24"/>
        <v>3170.5000000000005</v>
      </c>
      <c r="G79" s="175">
        <f t="shared" si="24"/>
        <v>11514.800000000001</v>
      </c>
      <c r="H79" s="175">
        <f t="shared" si="24"/>
        <v>10359.5</v>
      </c>
      <c r="I79" s="175">
        <f t="shared" si="24"/>
        <v>0</v>
      </c>
      <c r="J79" s="175">
        <f t="shared" si="24"/>
        <v>0</v>
      </c>
      <c r="K79" s="234"/>
      <c r="L79" s="175">
        <f t="shared" ref="L79:Y79" si="25">L80</f>
        <v>0</v>
      </c>
      <c r="M79" s="176">
        <f t="shared" si="25"/>
        <v>7894.2000000000007</v>
      </c>
      <c r="N79" s="177">
        <f t="shared" si="25"/>
        <v>-2606.599999999999</v>
      </c>
      <c r="O79" s="176">
        <f t="shared" si="25"/>
        <v>450</v>
      </c>
      <c r="P79" s="176">
        <f t="shared" si="25"/>
        <v>0</v>
      </c>
      <c r="Q79" s="176">
        <f t="shared" si="25"/>
        <v>0</v>
      </c>
      <c r="R79" s="176">
        <f t="shared" si="25"/>
        <v>169.5</v>
      </c>
      <c r="S79" s="176">
        <f t="shared" si="25"/>
        <v>16.5</v>
      </c>
      <c r="T79" s="176">
        <f t="shared" si="25"/>
        <v>231.89999999999998</v>
      </c>
      <c r="U79" s="176">
        <f t="shared" si="7"/>
        <v>417.9</v>
      </c>
      <c r="V79" s="176">
        <f t="shared" si="25"/>
        <v>0</v>
      </c>
      <c r="W79" s="176">
        <f t="shared" si="25"/>
        <v>4938</v>
      </c>
      <c r="X79" s="176">
        <f t="shared" si="25"/>
        <v>0</v>
      </c>
      <c r="Y79" s="176">
        <f t="shared" si="25"/>
        <v>0</v>
      </c>
      <c r="Z79" s="269">
        <f t="shared" si="8"/>
        <v>13700.1</v>
      </c>
    </row>
    <row r="80" spans="1:26" s="178" customFormat="1" x14ac:dyDescent="0.25">
      <c r="A80" s="263" t="s">
        <v>505</v>
      </c>
      <c r="B80" s="180" t="s">
        <v>506</v>
      </c>
      <c r="C80" s="181">
        <f>C81+C82+C83+C84+C85+C86+C87+C88+C89+C90+C91+C92+C93+C94+C95</f>
        <v>10935.500000000002</v>
      </c>
      <c r="D80" s="181">
        <f t="shared" ref="D80:F80" si="26">D81+D82+D83+D84+D85+D86+D87+D88+D89+D90+D91+D92+D93+D94+D95</f>
        <v>7330.2999999999993</v>
      </c>
      <c r="E80" s="181">
        <f t="shared" si="26"/>
        <v>250</v>
      </c>
      <c r="F80" s="181">
        <f t="shared" si="26"/>
        <v>3170.5000000000005</v>
      </c>
      <c r="G80" s="181">
        <f>G81+G82+G83+G84+G85+G86+G87+G88+G89+G90+G91+G92+G93+G94+G95+G96+G97</f>
        <v>11514.800000000001</v>
      </c>
      <c r="H80" s="181">
        <f>H81+H82+H83+H84+H85+H86+H87+H88+H89+H90+H91+H92+H93+H94+H95+H96+H97</f>
        <v>10359.5</v>
      </c>
      <c r="I80" s="181">
        <f t="shared" ref="I80:J80" si="27">I81+I82+I83+I84+I85+I86+I87+I88+I89+I90+I91+I92+I93</f>
        <v>0</v>
      </c>
      <c r="J80" s="181">
        <f t="shared" si="27"/>
        <v>0</v>
      </c>
      <c r="K80" s="220"/>
      <c r="L80" s="181">
        <f t="shared" ref="L80:Y80" si="28">L81+L82+L83+L84+L85+L86+L87+L88+L89+L90+L91+L92+L93</f>
        <v>0</v>
      </c>
      <c r="M80" s="182">
        <f>M81+M82+M83+M84+M85+M86+M87+M88+M89+M90+M91+M92+M93+M94+M95+M96+M97</f>
        <v>7894.2000000000007</v>
      </c>
      <c r="N80" s="183">
        <f>N81+N82+N83+N84+N85+N86+N87+N88+N89+N90+N91+N92+N93+N94+N95+N96+N97</f>
        <v>-2606.599999999999</v>
      </c>
      <c r="O80" s="182">
        <f>O81+O82+O83+O84+O85+O86+O87+O88+O89+O90+O91+O92+O93+O94+O95+O96+O97</f>
        <v>450</v>
      </c>
      <c r="P80" s="182">
        <f t="shared" ref="P80" si="29">P81+P82+P83+P84+P85+P86+P87+P88+P89+P90+P91+P92+P93+P94+P95</f>
        <v>0</v>
      </c>
      <c r="Q80" s="182">
        <f t="shared" ref="Q80:W80" si="30">Q81+Q82+Q83+Q84+Q85+Q86+Q87+Q88+Q89+Q90+Q91+Q92+Q93+Q94+Q95+Q96+Q97</f>
        <v>0</v>
      </c>
      <c r="R80" s="182">
        <f t="shared" si="30"/>
        <v>169.5</v>
      </c>
      <c r="S80" s="182">
        <f t="shared" si="30"/>
        <v>16.5</v>
      </c>
      <c r="T80" s="182">
        <f t="shared" si="30"/>
        <v>231.89999999999998</v>
      </c>
      <c r="U80" s="182">
        <f t="shared" si="30"/>
        <v>417.9</v>
      </c>
      <c r="V80" s="182">
        <f t="shared" si="30"/>
        <v>0</v>
      </c>
      <c r="W80" s="182">
        <f t="shared" si="30"/>
        <v>4938</v>
      </c>
      <c r="X80" s="182">
        <f t="shared" si="28"/>
        <v>0</v>
      </c>
      <c r="Y80" s="182">
        <f t="shared" si="28"/>
        <v>0</v>
      </c>
      <c r="Z80" s="233">
        <f>M80+O80+U80+V80+W80+X80</f>
        <v>13700.1</v>
      </c>
    </row>
    <row r="81" spans="1:26" ht="28.5" customHeight="1" x14ac:dyDescent="0.25">
      <c r="A81" s="262" t="s">
        <v>507</v>
      </c>
      <c r="B81" s="184" t="s">
        <v>508</v>
      </c>
      <c r="C81" s="185">
        <v>5810.7</v>
      </c>
      <c r="D81" s="209">
        <v>5346</v>
      </c>
      <c r="E81" s="209"/>
      <c r="F81" s="209">
        <v>464.7</v>
      </c>
      <c r="G81" s="209">
        <v>5813.6</v>
      </c>
      <c r="H81" s="209">
        <v>5559.1</v>
      </c>
      <c r="I81" s="209"/>
      <c r="J81" s="209"/>
      <c r="K81" s="214" t="s">
        <v>509</v>
      </c>
      <c r="L81" s="226"/>
      <c r="M81" s="213">
        <f>6864+519.5+7+5.1+40-1143.8-15-10-255.5-150</f>
        <v>5861.3</v>
      </c>
      <c r="N81" s="191">
        <f t="shared" ref="N81:N97" si="31">M81-D81-F81</f>
        <v>50.600000000000193</v>
      </c>
      <c r="O81" s="213"/>
      <c r="P81" s="193"/>
      <c r="Q81" s="213"/>
      <c r="R81" s="213"/>
      <c r="S81" s="213"/>
      <c r="T81" s="213"/>
      <c r="U81" s="193">
        <f t="shared" si="7"/>
        <v>0</v>
      </c>
      <c r="V81" s="193"/>
      <c r="W81" s="193"/>
      <c r="X81" s="195"/>
      <c r="Y81" s="215"/>
      <c r="Z81" s="271">
        <f t="shared" si="8"/>
        <v>5861.3</v>
      </c>
    </row>
    <row r="82" spans="1:26" ht="27.75" customHeight="1" x14ac:dyDescent="0.25">
      <c r="A82" s="262" t="s">
        <v>510</v>
      </c>
      <c r="B82" s="184" t="s">
        <v>511</v>
      </c>
      <c r="C82" s="185">
        <v>305.10000000000002</v>
      </c>
      <c r="D82" s="209">
        <v>296.89999999999998</v>
      </c>
      <c r="E82" s="209"/>
      <c r="F82" s="209">
        <v>8.1999999999999993</v>
      </c>
      <c r="G82" s="209">
        <v>390.1</v>
      </c>
      <c r="H82" s="209">
        <v>376.9</v>
      </c>
      <c r="I82" s="209"/>
      <c r="J82" s="209"/>
      <c r="K82" s="235" t="s">
        <v>512</v>
      </c>
      <c r="L82" s="211"/>
      <c r="M82" s="213">
        <f>378-35-85-12-40-13.7</f>
        <v>192.3</v>
      </c>
      <c r="N82" s="191">
        <f t="shared" si="31"/>
        <v>-112.79999999999997</v>
      </c>
      <c r="O82" s="213"/>
      <c r="P82" s="193"/>
      <c r="Q82" s="213"/>
      <c r="R82" s="213"/>
      <c r="S82" s="213"/>
      <c r="T82" s="213"/>
      <c r="U82" s="193">
        <f t="shared" si="7"/>
        <v>0</v>
      </c>
      <c r="V82" s="193"/>
      <c r="W82" s="193"/>
      <c r="X82" s="195"/>
      <c r="Y82" s="215"/>
      <c r="Z82" s="271">
        <f t="shared" si="8"/>
        <v>192.3</v>
      </c>
    </row>
    <row r="83" spans="1:26" s="178" customFormat="1" ht="23.25" customHeight="1" x14ac:dyDescent="0.25">
      <c r="A83" s="262" t="s">
        <v>513</v>
      </c>
      <c r="B83" s="184" t="s">
        <v>514</v>
      </c>
      <c r="C83" s="224">
        <v>301.2</v>
      </c>
      <c r="D83" s="209">
        <v>251.2</v>
      </c>
      <c r="E83" s="209"/>
      <c r="F83" s="209">
        <v>50</v>
      </c>
      <c r="G83" s="209">
        <v>283.2</v>
      </c>
      <c r="H83" s="209">
        <v>240.3</v>
      </c>
      <c r="I83" s="225"/>
      <c r="J83" s="225"/>
      <c r="K83" s="219" t="s">
        <v>515</v>
      </c>
      <c r="L83" s="225"/>
      <c r="M83" s="213">
        <f>306.2-9.5-17.6-35-11.6</f>
        <v>232.49999999999997</v>
      </c>
      <c r="N83" s="191">
        <f t="shared" si="31"/>
        <v>-68.700000000000017</v>
      </c>
      <c r="O83" s="213"/>
      <c r="P83" s="193"/>
      <c r="Q83" s="212"/>
      <c r="R83" s="212"/>
      <c r="S83" s="212"/>
      <c r="T83" s="212"/>
      <c r="U83" s="193">
        <f t="shared" si="7"/>
        <v>0</v>
      </c>
      <c r="V83" s="193"/>
      <c r="W83" s="193"/>
      <c r="X83" s="195"/>
      <c r="Y83" s="196"/>
      <c r="Z83" s="271">
        <f t="shared" si="8"/>
        <v>232.49999999999997</v>
      </c>
    </row>
    <row r="84" spans="1:26" ht="22.5" customHeight="1" x14ac:dyDescent="0.25">
      <c r="A84" s="262" t="s">
        <v>516</v>
      </c>
      <c r="B84" s="184" t="s">
        <v>517</v>
      </c>
      <c r="C84" s="185">
        <v>40</v>
      </c>
      <c r="D84" s="209">
        <v>40</v>
      </c>
      <c r="E84" s="209"/>
      <c r="F84" s="209"/>
      <c r="G84" s="209">
        <v>61.2</v>
      </c>
      <c r="H84" s="209">
        <v>50.7</v>
      </c>
      <c r="I84" s="209"/>
      <c r="J84" s="209"/>
      <c r="K84" s="236" t="s">
        <v>794</v>
      </c>
      <c r="L84" s="211"/>
      <c r="M84" s="213">
        <v>40</v>
      </c>
      <c r="N84" s="191">
        <f t="shared" si="31"/>
        <v>0</v>
      </c>
      <c r="O84" s="213"/>
      <c r="P84" s="193">
        <f>O84-E84</f>
        <v>0</v>
      </c>
      <c r="Q84" s="213"/>
      <c r="R84" s="213"/>
      <c r="S84" s="213"/>
      <c r="T84" s="213"/>
      <c r="U84" s="193">
        <f t="shared" si="7"/>
        <v>0</v>
      </c>
      <c r="V84" s="193"/>
      <c r="W84" s="193"/>
      <c r="X84" s="195"/>
      <c r="Y84" s="196"/>
      <c r="Z84" s="271">
        <f t="shared" si="8"/>
        <v>40</v>
      </c>
    </row>
    <row r="85" spans="1:26" s="178" customFormat="1" ht="31.5" hidden="1" x14ac:dyDescent="0.25">
      <c r="A85" s="262" t="s">
        <v>518</v>
      </c>
      <c r="B85" s="184" t="s">
        <v>519</v>
      </c>
      <c r="C85" s="224"/>
      <c r="D85" s="209"/>
      <c r="E85" s="209"/>
      <c r="F85" s="209"/>
      <c r="G85" s="209"/>
      <c r="H85" s="209"/>
      <c r="I85" s="225"/>
      <c r="J85" s="225"/>
      <c r="K85" s="205"/>
      <c r="L85" s="225"/>
      <c r="M85" s="212"/>
      <c r="N85" s="191">
        <f t="shared" si="31"/>
        <v>0</v>
      </c>
      <c r="O85" s="213"/>
      <c r="P85" s="193">
        <f>O85-E85</f>
        <v>0</v>
      </c>
      <c r="Q85" s="212"/>
      <c r="R85" s="212"/>
      <c r="S85" s="212"/>
      <c r="T85" s="212"/>
      <c r="U85" s="193">
        <f t="shared" si="7"/>
        <v>0</v>
      </c>
      <c r="V85" s="193"/>
      <c r="W85" s="193"/>
      <c r="X85" s="215"/>
      <c r="Y85" s="215"/>
      <c r="Z85" s="271">
        <f>M85+O85+U85+V85+W85+X85</f>
        <v>0</v>
      </c>
    </row>
    <row r="86" spans="1:26" s="178" customFormat="1" hidden="1" x14ac:dyDescent="0.25">
      <c r="A86" s="262" t="s">
        <v>520</v>
      </c>
      <c r="B86" s="184" t="s">
        <v>521</v>
      </c>
      <c r="C86" s="224"/>
      <c r="D86" s="209"/>
      <c r="E86" s="209"/>
      <c r="F86" s="209"/>
      <c r="G86" s="209"/>
      <c r="H86" s="209"/>
      <c r="I86" s="225"/>
      <c r="J86" s="225"/>
      <c r="K86" s="237"/>
      <c r="L86" s="225"/>
      <c r="M86" s="212">
        <v>0</v>
      </c>
      <c r="N86" s="191">
        <f t="shared" si="31"/>
        <v>0</v>
      </c>
      <c r="O86" s="212"/>
      <c r="P86" s="193"/>
      <c r="Q86" s="212"/>
      <c r="R86" s="212"/>
      <c r="S86" s="212"/>
      <c r="T86" s="212"/>
      <c r="U86" s="193">
        <f t="shared" ref="U86:U97" si="32">Q86+R86+S86+T86</f>
        <v>0</v>
      </c>
      <c r="V86" s="193"/>
      <c r="W86" s="193"/>
      <c r="X86" s="195"/>
      <c r="Y86" s="196"/>
      <c r="Z86" s="271">
        <f t="shared" ref="Z86:Z92" si="33">M86+O86+U86+V86+W86+X86</f>
        <v>0</v>
      </c>
    </row>
    <row r="87" spans="1:26" x14ac:dyDescent="0.25">
      <c r="A87" s="264" t="s">
        <v>522</v>
      </c>
      <c r="B87" s="184" t="s">
        <v>523</v>
      </c>
      <c r="C87" s="185">
        <v>2006.1</v>
      </c>
      <c r="D87" s="209"/>
      <c r="E87" s="209"/>
      <c r="F87" s="209">
        <v>2006.1</v>
      </c>
      <c r="G87" s="209">
        <v>2012.1</v>
      </c>
      <c r="H87" s="209">
        <v>2004.6</v>
      </c>
      <c r="I87" s="209"/>
      <c r="J87" s="209"/>
      <c r="K87" s="238" t="s">
        <v>524</v>
      </c>
      <c r="L87" s="239"/>
      <c r="M87" s="212">
        <v>0</v>
      </c>
      <c r="N87" s="191">
        <f t="shared" si="31"/>
        <v>-2006.1</v>
      </c>
      <c r="O87" s="213"/>
      <c r="P87" s="193"/>
      <c r="Q87" s="213"/>
      <c r="R87" s="213"/>
      <c r="S87" s="213"/>
      <c r="T87" s="213"/>
      <c r="U87" s="193">
        <f t="shared" si="32"/>
        <v>0</v>
      </c>
      <c r="V87" s="193"/>
      <c r="W87" s="193">
        <f>4419+519</f>
        <v>4938</v>
      </c>
      <c r="X87" s="195"/>
      <c r="Y87" s="196"/>
      <c r="Z87" s="271">
        <f t="shared" si="33"/>
        <v>4938</v>
      </c>
    </row>
    <row r="88" spans="1:26" s="178" customFormat="1" ht="23.25" customHeight="1" x14ac:dyDescent="0.25">
      <c r="A88" s="262" t="s">
        <v>525</v>
      </c>
      <c r="B88" s="184" t="s">
        <v>526</v>
      </c>
      <c r="C88" s="224">
        <v>343.6</v>
      </c>
      <c r="D88" s="209">
        <v>303.3</v>
      </c>
      <c r="E88" s="209"/>
      <c r="F88" s="209">
        <v>40.299999999999997</v>
      </c>
      <c r="G88" s="209">
        <v>162.5</v>
      </c>
      <c r="H88" s="209">
        <v>0</v>
      </c>
      <c r="I88" s="225"/>
      <c r="J88" s="225"/>
      <c r="K88" s="240" t="s">
        <v>527</v>
      </c>
      <c r="L88" s="241"/>
      <c r="M88" s="212">
        <v>346.5</v>
      </c>
      <c r="N88" s="191">
        <f t="shared" si="31"/>
        <v>2.8999999999999915</v>
      </c>
      <c r="O88" s="212"/>
      <c r="P88" s="193"/>
      <c r="Q88" s="212"/>
      <c r="R88" s="212"/>
      <c r="S88" s="212"/>
      <c r="T88" s="212"/>
      <c r="U88" s="193">
        <f t="shared" si="32"/>
        <v>0</v>
      </c>
      <c r="V88" s="193"/>
      <c r="W88" s="193"/>
      <c r="X88" s="195"/>
      <c r="Y88" s="196"/>
      <c r="Z88" s="271">
        <f t="shared" si="33"/>
        <v>346.5</v>
      </c>
    </row>
    <row r="89" spans="1:26" ht="24" customHeight="1" x14ac:dyDescent="0.25">
      <c r="A89" s="262" t="s">
        <v>528</v>
      </c>
      <c r="B89" s="184" t="s">
        <v>529</v>
      </c>
      <c r="C89" s="185">
        <v>776</v>
      </c>
      <c r="D89" s="209">
        <v>30</v>
      </c>
      <c r="E89" s="209">
        <v>250</v>
      </c>
      <c r="F89" s="209">
        <v>496</v>
      </c>
      <c r="G89" s="209">
        <v>1304.0999999999999</v>
      </c>
      <c r="H89" s="209">
        <v>778</v>
      </c>
      <c r="I89" s="209"/>
      <c r="J89" s="209"/>
      <c r="K89" s="242" t="s">
        <v>530</v>
      </c>
      <c r="L89" s="226"/>
      <c r="M89" s="212">
        <f>136-50-14</f>
        <v>72</v>
      </c>
      <c r="N89" s="191">
        <f t="shared" si="31"/>
        <v>-454</v>
      </c>
      <c r="O89" s="213">
        <f>370+80</f>
        <v>450</v>
      </c>
      <c r="P89" s="193"/>
      <c r="Q89" s="213"/>
      <c r="R89" s="213"/>
      <c r="S89" s="213"/>
      <c r="T89" s="213"/>
      <c r="U89" s="193">
        <f t="shared" si="32"/>
        <v>0</v>
      </c>
      <c r="V89" s="193"/>
      <c r="W89" s="193"/>
      <c r="X89" s="195"/>
      <c r="Y89" s="196"/>
      <c r="Z89" s="271">
        <f t="shared" si="33"/>
        <v>522</v>
      </c>
    </row>
    <row r="90" spans="1:26" ht="24" customHeight="1" x14ac:dyDescent="0.25">
      <c r="A90" s="262" t="s">
        <v>531</v>
      </c>
      <c r="B90" s="184" t="s">
        <v>532</v>
      </c>
      <c r="C90" s="185">
        <v>569.1</v>
      </c>
      <c r="D90" s="209">
        <v>520.79999999999995</v>
      </c>
      <c r="E90" s="209"/>
      <c r="F90" s="209">
        <v>48.3</v>
      </c>
      <c r="G90" s="209">
        <v>634.9</v>
      </c>
      <c r="H90" s="209">
        <v>634.5</v>
      </c>
      <c r="I90" s="209"/>
      <c r="J90" s="209"/>
      <c r="K90" s="208" t="s">
        <v>533</v>
      </c>
      <c r="L90" s="226"/>
      <c r="M90" s="213">
        <f>686.6-102.3-1.5</f>
        <v>582.80000000000007</v>
      </c>
      <c r="N90" s="191">
        <f t="shared" si="31"/>
        <v>13.700000000000117</v>
      </c>
      <c r="O90" s="213"/>
      <c r="P90" s="193">
        <v>0</v>
      </c>
      <c r="Q90" s="213"/>
      <c r="R90" s="213"/>
      <c r="S90" s="213"/>
      <c r="T90" s="213"/>
      <c r="U90" s="193">
        <f t="shared" si="32"/>
        <v>0</v>
      </c>
      <c r="V90" s="193"/>
      <c r="W90" s="193"/>
      <c r="X90" s="195"/>
      <c r="Y90" s="215"/>
      <c r="Z90" s="271">
        <f t="shared" si="33"/>
        <v>582.80000000000007</v>
      </c>
    </row>
    <row r="91" spans="1:26" x14ac:dyDescent="0.25">
      <c r="A91" s="262" t="s">
        <v>534</v>
      </c>
      <c r="B91" s="184" t="s">
        <v>535</v>
      </c>
      <c r="C91" s="185"/>
      <c r="D91" s="209"/>
      <c r="E91" s="209"/>
      <c r="F91" s="209"/>
      <c r="G91" s="209"/>
      <c r="H91" s="209"/>
      <c r="I91" s="209"/>
      <c r="J91" s="209"/>
      <c r="K91" s="223"/>
      <c r="L91" s="226"/>
      <c r="M91" s="212"/>
      <c r="N91" s="191">
        <f t="shared" si="31"/>
        <v>0</v>
      </c>
      <c r="O91" s="213"/>
      <c r="P91" s="193">
        <f>O91-E91</f>
        <v>0</v>
      </c>
      <c r="Q91" s="213"/>
      <c r="R91" s="213"/>
      <c r="S91" s="213"/>
      <c r="T91" s="213"/>
      <c r="U91" s="193">
        <f t="shared" si="32"/>
        <v>0</v>
      </c>
      <c r="V91" s="193"/>
      <c r="W91" s="193"/>
      <c r="X91" s="195"/>
      <c r="Y91" s="196"/>
      <c r="Z91" s="271">
        <f t="shared" si="33"/>
        <v>0</v>
      </c>
    </row>
    <row r="92" spans="1:26" x14ac:dyDescent="0.25">
      <c r="A92" s="262" t="s">
        <v>536</v>
      </c>
      <c r="B92" s="184" t="s">
        <v>537</v>
      </c>
      <c r="C92" s="185"/>
      <c r="D92" s="209"/>
      <c r="E92" s="209"/>
      <c r="F92" s="209"/>
      <c r="G92" s="209"/>
      <c r="H92" s="209"/>
      <c r="I92" s="209"/>
      <c r="J92" s="209"/>
      <c r="K92" s="223"/>
      <c r="L92" s="226"/>
      <c r="M92" s="212"/>
      <c r="N92" s="191">
        <f t="shared" si="31"/>
        <v>0</v>
      </c>
      <c r="O92" s="213"/>
      <c r="P92" s="193">
        <f>O92-E92</f>
        <v>0</v>
      </c>
      <c r="Q92" s="213"/>
      <c r="R92" s="213"/>
      <c r="S92" s="213"/>
      <c r="T92" s="213"/>
      <c r="U92" s="193">
        <f t="shared" si="32"/>
        <v>0</v>
      </c>
      <c r="V92" s="193"/>
      <c r="W92" s="193"/>
      <c r="X92" s="195"/>
      <c r="Y92" s="196"/>
      <c r="Z92" s="271">
        <f t="shared" si="33"/>
        <v>0</v>
      </c>
    </row>
    <row r="93" spans="1:26" x14ac:dyDescent="0.25">
      <c r="A93" s="262" t="s">
        <v>538</v>
      </c>
      <c r="B93" s="184" t="s">
        <v>539</v>
      </c>
      <c r="C93" s="185">
        <v>206.6</v>
      </c>
      <c r="D93" s="209">
        <v>21.9</v>
      </c>
      <c r="E93" s="209"/>
      <c r="F93" s="209"/>
      <c r="G93" s="209">
        <v>208</v>
      </c>
      <c r="H93" s="209">
        <v>193.2</v>
      </c>
      <c r="I93" s="209"/>
      <c r="J93" s="209"/>
      <c r="K93" s="199" t="s">
        <v>540</v>
      </c>
      <c r="L93" s="226"/>
      <c r="M93" s="213">
        <v>6.8</v>
      </c>
      <c r="N93" s="191">
        <f t="shared" si="31"/>
        <v>-15.099999999999998</v>
      </c>
      <c r="O93" s="213"/>
      <c r="P93" s="193">
        <f>O93-E93</f>
        <v>0</v>
      </c>
      <c r="Q93" s="213"/>
      <c r="R93" s="213">
        <v>169.5</v>
      </c>
      <c r="S93" s="213">
        <v>16.5</v>
      </c>
      <c r="T93" s="213"/>
      <c r="U93" s="193">
        <f t="shared" si="32"/>
        <v>186</v>
      </c>
      <c r="V93" s="193"/>
      <c r="W93" s="193"/>
      <c r="X93" s="195"/>
      <c r="Y93" s="196"/>
      <c r="Z93" s="271">
        <f>M93+O93+U93+V93+W93+X93</f>
        <v>192.8</v>
      </c>
    </row>
    <row r="94" spans="1:26" ht="24.75" customHeight="1" x14ac:dyDescent="0.25">
      <c r="A94" s="262" t="s">
        <v>541</v>
      </c>
      <c r="B94" s="184" t="s">
        <v>542</v>
      </c>
      <c r="C94" s="185">
        <v>463</v>
      </c>
      <c r="D94" s="209">
        <v>415</v>
      </c>
      <c r="E94" s="209"/>
      <c r="F94" s="209">
        <v>48</v>
      </c>
      <c r="G94" s="209">
        <v>451.1</v>
      </c>
      <c r="H94" s="209">
        <v>403.3</v>
      </c>
      <c r="I94" s="209"/>
      <c r="J94" s="209"/>
      <c r="K94" s="243" t="s">
        <v>543</v>
      </c>
      <c r="L94" s="226"/>
      <c r="M94" s="213">
        <f>443-68.7-1</f>
        <v>373.3</v>
      </c>
      <c r="N94" s="191">
        <f t="shared" si="31"/>
        <v>-89.699999999999989</v>
      </c>
      <c r="O94" s="213"/>
      <c r="P94" s="193"/>
      <c r="Q94" s="213"/>
      <c r="R94" s="213"/>
      <c r="S94" s="213"/>
      <c r="T94" s="213"/>
      <c r="U94" s="193">
        <f t="shared" si="32"/>
        <v>0</v>
      </c>
      <c r="V94" s="193"/>
      <c r="W94" s="193"/>
      <c r="X94" s="195"/>
      <c r="Y94" s="196"/>
      <c r="Z94" s="271">
        <f t="shared" ref="Z94:Z97" si="34">M94+O94+U94+V94+W94+X94</f>
        <v>373.3</v>
      </c>
    </row>
    <row r="95" spans="1:26" ht="21" customHeight="1" x14ac:dyDescent="0.25">
      <c r="A95" s="262" t="s">
        <v>544</v>
      </c>
      <c r="B95" s="184" t="s">
        <v>545</v>
      </c>
      <c r="C95" s="185">
        <v>114.1</v>
      </c>
      <c r="D95" s="209">
        <v>105.2</v>
      </c>
      <c r="E95" s="209"/>
      <c r="F95" s="209">
        <v>8.9</v>
      </c>
      <c r="G95" s="209">
        <v>119.8</v>
      </c>
      <c r="H95" s="209">
        <v>118.9</v>
      </c>
      <c r="I95" s="209"/>
      <c r="J95" s="209"/>
      <c r="K95" s="208" t="s">
        <v>546</v>
      </c>
      <c r="L95" s="226"/>
      <c r="M95" s="213">
        <f>135.9-21.2</f>
        <v>114.7</v>
      </c>
      <c r="N95" s="191">
        <f t="shared" si="31"/>
        <v>0.59999999999999964</v>
      </c>
      <c r="O95" s="213"/>
      <c r="P95" s="193"/>
      <c r="Q95" s="213"/>
      <c r="R95" s="213"/>
      <c r="S95" s="213"/>
      <c r="T95" s="213"/>
      <c r="U95" s="193">
        <f t="shared" si="32"/>
        <v>0</v>
      </c>
      <c r="V95" s="193"/>
      <c r="W95" s="193"/>
      <c r="X95" s="195"/>
      <c r="Y95" s="196"/>
      <c r="Z95" s="271">
        <f t="shared" si="34"/>
        <v>114.7</v>
      </c>
    </row>
    <row r="96" spans="1:26" x14ac:dyDescent="0.25">
      <c r="A96" s="262" t="s">
        <v>547</v>
      </c>
      <c r="B96" s="244" t="s">
        <v>548</v>
      </c>
      <c r="C96" s="185"/>
      <c r="D96" s="209"/>
      <c r="E96" s="209"/>
      <c r="F96" s="209"/>
      <c r="G96" s="209"/>
      <c r="H96" s="209"/>
      <c r="I96" s="209"/>
      <c r="J96" s="209"/>
      <c r="K96" s="245" t="s">
        <v>209</v>
      </c>
      <c r="L96" s="226"/>
      <c r="M96" s="213">
        <f>54+18</f>
        <v>72</v>
      </c>
      <c r="N96" s="191">
        <f t="shared" si="31"/>
        <v>72</v>
      </c>
      <c r="O96" s="213"/>
      <c r="P96" s="193"/>
      <c r="Q96" s="213"/>
      <c r="R96" s="213"/>
      <c r="S96" s="213"/>
      <c r="T96" s="213">
        <f>72-72</f>
        <v>0</v>
      </c>
      <c r="U96" s="193">
        <f t="shared" si="32"/>
        <v>0</v>
      </c>
      <c r="V96" s="193"/>
      <c r="W96" s="193"/>
      <c r="X96" s="195"/>
      <c r="Y96" s="196"/>
      <c r="Z96" s="271">
        <f t="shared" si="34"/>
        <v>72</v>
      </c>
    </row>
    <row r="97" spans="1:26" ht="31.5" x14ac:dyDescent="0.25">
      <c r="A97" s="262" t="s">
        <v>549</v>
      </c>
      <c r="B97" s="184" t="s">
        <v>550</v>
      </c>
      <c r="C97" s="185"/>
      <c r="D97" s="209"/>
      <c r="E97" s="209"/>
      <c r="F97" s="209"/>
      <c r="G97" s="209">
        <v>74.2</v>
      </c>
      <c r="H97" s="209">
        <v>0</v>
      </c>
      <c r="I97" s="209"/>
      <c r="J97" s="209"/>
      <c r="K97" s="245" t="s">
        <v>209</v>
      </c>
      <c r="L97" s="226"/>
      <c r="M97" s="213">
        <f>229.1-229.1</f>
        <v>0</v>
      </c>
      <c r="N97" s="191">
        <f t="shared" si="31"/>
        <v>0</v>
      </c>
      <c r="O97" s="213"/>
      <c r="P97" s="193"/>
      <c r="Q97" s="213"/>
      <c r="R97" s="213"/>
      <c r="S97" s="213"/>
      <c r="T97" s="213">
        <f>193.6+38.3</f>
        <v>231.89999999999998</v>
      </c>
      <c r="U97" s="193">
        <f t="shared" si="32"/>
        <v>231.89999999999998</v>
      </c>
      <c r="V97" s="193"/>
      <c r="W97" s="193"/>
      <c r="X97" s="195"/>
      <c r="Y97" s="196"/>
      <c r="Z97" s="271">
        <f t="shared" si="34"/>
        <v>231.89999999999998</v>
      </c>
    </row>
    <row r="99" spans="1:26" x14ac:dyDescent="0.25">
      <c r="B99" s="272"/>
    </row>
  </sheetData>
  <sheetProtection algorithmName="SHA-512" hashValue="W4VbNKI4oAjah52lOYoKJHBN8l+31BhVJqWHt+bT95kn4U4WeuIySpbgUIg4JRxZDDrkXOjwcEZZEVw43Ayb5g==" saltValue="RRj9PuGmVute/GAOY1PIIw==" spinCount="100000" sheet="1" objects="1" scenarios="1" selectLockedCells="1" selectUnlockedCells="1"/>
  <mergeCells count="10">
    <mergeCell ref="K3:Z5"/>
    <mergeCell ref="H4:H5"/>
    <mergeCell ref="I4:I5"/>
    <mergeCell ref="A3:A5"/>
    <mergeCell ref="B3:B5"/>
    <mergeCell ref="C3:C5"/>
    <mergeCell ref="D3:F3"/>
    <mergeCell ref="G3:H3"/>
    <mergeCell ref="D4:F4"/>
    <mergeCell ref="G4:G5"/>
  </mergeCells>
  <pageMargins left="0.59055118110236227" right="0.39370078740157483" top="0.59055118110236227" bottom="0.59055118110236227" header="0.11811023622047245" footer="0.11811023622047245"/>
  <pageSetup paperSize="8" orientation="portrait" r:id="rId1"/>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FEC5-E710-4B25-BEB9-8A70FE810113}">
  <sheetPr>
    <tabColor theme="6" tint="-0.499984740745262"/>
  </sheetPr>
  <dimension ref="A1:AB486"/>
  <sheetViews>
    <sheetView showGridLines="0" showRowColHeaders="0" zoomScaleNormal="100" workbookViewId="0">
      <pane ySplit="6" topLeftCell="A7" activePane="bottomLeft" state="frozen"/>
      <selection pane="bottomLeft" sqref="A1:CE711"/>
    </sheetView>
  </sheetViews>
  <sheetFormatPr defaultColWidth="9.140625" defaultRowHeight="18.75" customHeight="1" outlineLevelCol="1" x14ac:dyDescent="0.25"/>
  <cols>
    <col min="1" max="1" width="10.85546875" style="158" customWidth="1"/>
    <col min="2" max="2" width="104.42578125" style="158" customWidth="1"/>
    <col min="3" max="3" width="7.140625" style="161" hidden="1" customWidth="1"/>
    <col min="4" max="4" width="6.5703125" style="160" hidden="1" customWidth="1" outlineLevel="1"/>
    <col min="5" max="5" width="5.5703125" style="160" hidden="1" customWidth="1" outlineLevel="1"/>
    <col min="6" max="6" width="6.140625" style="160" hidden="1" customWidth="1" outlineLevel="1"/>
    <col min="7" max="7" width="7.42578125" style="158" hidden="1" customWidth="1" outlineLevel="1"/>
    <col min="8" max="8" width="8.42578125" style="158" hidden="1" customWidth="1" outlineLevel="1"/>
    <col min="9" max="9" width="3.5703125" style="158" hidden="1" customWidth="1" collapsed="1"/>
    <col min="10" max="10" width="4.28515625" style="158" hidden="1" customWidth="1"/>
    <col min="11" max="11" width="31" style="159" hidden="1" customWidth="1"/>
    <col min="12" max="12" width="0.140625" style="158" hidden="1" customWidth="1"/>
    <col min="13" max="13" width="8" style="309" hidden="1" customWidth="1"/>
    <col min="14" max="14" width="7.28515625" style="310" hidden="1" customWidth="1"/>
    <col min="15" max="15" width="6.5703125" style="311" hidden="1" customWidth="1"/>
    <col min="16" max="16" width="6.42578125" style="311" hidden="1" customWidth="1" outlineLevel="1"/>
    <col min="17" max="17" width="8" style="158" hidden="1" customWidth="1" collapsed="1"/>
    <col min="18" max="18" width="4.140625" style="158" hidden="1" customWidth="1"/>
    <col min="19" max="19" width="6.5703125" style="158" hidden="1" customWidth="1"/>
    <col min="20" max="20" width="7.140625" style="158" hidden="1" customWidth="1"/>
    <col min="21" max="21" width="8.7109375" style="158" hidden="1" customWidth="1"/>
    <col min="22" max="22" width="5.42578125" style="158" hidden="1" customWidth="1"/>
    <col min="23" max="23" width="5.7109375" style="309" hidden="1" customWidth="1"/>
    <col min="24" max="24" width="3" style="158" hidden="1" customWidth="1"/>
    <col min="25" max="25" width="3.85546875" style="158" hidden="1" customWidth="1"/>
    <col min="26" max="26" width="15.42578125" style="326" customWidth="1"/>
    <col min="27" max="27" width="0.140625" style="158" customWidth="1"/>
    <col min="28" max="16384" width="9.140625" style="246"/>
  </cols>
  <sheetData>
    <row r="1" spans="1:27" s="36" customFormat="1" ht="18.75" customHeight="1" x14ac:dyDescent="0.25">
      <c r="A1" s="312"/>
      <c r="B1" s="313"/>
      <c r="C1" s="314"/>
      <c r="D1" s="314"/>
      <c r="E1" s="314"/>
      <c r="F1" s="314"/>
      <c r="G1" s="314"/>
      <c r="H1" s="314"/>
      <c r="I1" s="314"/>
      <c r="J1" s="314"/>
      <c r="K1" s="314"/>
      <c r="L1" s="314"/>
      <c r="M1" s="314"/>
      <c r="N1" s="314"/>
      <c r="O1" s="30"/>
      <c r="P1" s="30"/>
      <c r="Q1" s="30"/>
      <c r="R1" s="30"/>
      <c r="S1" s="30"/>
      <c r="T1" s="30"/>
      <c r="U1" s="30"/>
      <c r="V1" s="30"/>
      <c r="W1" s="30"/>
      <c r="X1" s="30"/>
      <c r="Y1" s="30"/>
      <c r="Z1" s="35"/>
      <c r="AA1" s="30"/>
    </row>
    <row r="2" spans="1:27" s="36" customFormat="1" ht="18.75" customHeight="1" x14ac:dyDescent="0.25">
      <c r="A2" s="312"/>
      <c r="B2" s="315"/>
      <c r="C2" s="316"/>
      <c r="D2" s="312"/>
      <c r="E2" s="312"/>
      <c r="F2" s="312"/>
      <c r="G2" s="312"/>
      <c r="H2" s="312"/>
      <c r="I2" s="314"/>
      <c r="J2" s="314"/>
      <c r="K2" s="317" t="s">
        <v>551</v>
      </c>
      <c r="L2" s="317"/>
      <c r="M2" s="136">
        <f>'[1]Kontroliniai dydžiai '!Q7</f>
        <v>26290.772480000003</v>
      </c>
      <c r="N2" s="318"/>
      <c r="O2" s="319">
        <f>M2-M7</f>
        <v>-21.927519999997457</v>
      </c>
      <c r="P2" s="30"/>
      <c r="Q2" s="30"/>
      <c r="R2" s="30"/>
      <c r="S2" s="30"/>
      <c r="T2" s="30"/>
      <c r="U2" s="30"/>
      <c r="V2" s="30"/>
      <c r="W2" s="136"/>
      <c r="X2" s="30"/>
      <c r="Y2" s="30"/>
      <c r="Z2" s="35" t="s">
        <v>0</v>
      </c>
      <c r="AA2" s="136"/>
    </row>
    <row r="3" spans="1:27" s="35" customFormat="1" ht="18.75" customHeight="1" x14ac:dyDescent="0.25">
      <c r="A3" s="344" t="s">
        <v>111</v>
      </c>
      <c r="B3" s="344" t="s">
        <v>112</v>
      </c>
      <c r="C3" s="352" t="s">
        <v>552</v>
      </c>
      <c r="D3" s="353"/>
      <c r="E3" s="353"/>
      <c r="F3" s="353"/>
      <c r="G3" s="353"/>
      <c r="H3" s="353"/>
      <c r="I3" s="162"/>
      <c r="J3" s="163"/>
      <c r="K3" s="354" t="s">
        <v>785</v>
      </c>
      <c r="L3" s="354"/>
      <c r="M3" s="354"/>
      <c r="N3" s="354"/>
      <c r="O3" s="354"/>
      <c r="P3" s="354"/>
      <c r="Q3" s="354"/>
      <c r="R3" s="354"/>
      <c r="S3" s="354"/>
      <c r="T3" s="354"/>
      <c r="U3" s="354"/>
      <c r="V3" s="354"/>
      <c r="W3" s="354"/>
      <c r="X3" s="354"/>
      <c r="Y3" s="354"/>
      <c r="Z3" s="354"/>
      <c r="AA3" s="354"/>
    </row>
    <row r="4" spans="1:27" s="35" customFormat="1" ht="18.75" customHeight="1" x14ac:dyDescent="0.25">
      <c r="A4" s="344"/>
      <c r="B4" s="344"/>
      <c r="C4" s="352"/>
      <c r="D4" s="353" t="s">
        <v>114</v>
      </c>
      <c r="E4" s="353"/>
      <c r="F4" s="353"/>
      <c r="G4" s="353" t="s">
        <v>115</v>
      </c>
      <c r="H4" s="353" t="s">
        <v>116</v>
      </c>
      <c r="I4" s="355"/>
      <c r="J4" s="163"/>
      <c r="K4" s="354"/>
      <c r="L4" s="354"/>
      <c r="M4" s="354"/>
      <c r="N4" s="354"/>
      <c r="O4" s="354"/>
      <c r="P4" s="354"/>
      <c r="Q4" s="354"/>
      <c r="R4" s="354"/>
      <c r="S4" s="354"/>
      <c r="T4" s="354"/>
      <c r="U4" s="354"/>
      <c r="V4" s="354"/>
      <c r="W4" s="354"/>
      <c r="X4" s="354"/>
      <c r="Y4" s="354"/>
      <c r="Z4" s="354"/>
      <c r="AA4" s="354"/>
    </row>
    <row r="5" spans="1:27" s="35" customFormat="1" ht="11.25" customHeight="1" x14ac:dyDescent="0.25">
      <c r="A5" s="344"/>
      <c r="B5" s="344"/>
      <c r="C5" s="352"/>
      <c r="D5" s="164" t="s">
        <v>117</v>
      </c>
      <c r="E5" s="164" t="s">
        <v>118</v>
      </c>
      <c r="F5" s="164" t="s">
        <v>119</v>
      </c>
      <c r="G5" s="353"/>
      <c r="H5" s="353"/>
      <c r="I5" s="355"/>
      <c r="J5" s="163"/>
      <c r="K5" s="354"/>
      <c r="L5" s="354"/>
      <c r="M5" s="354"/>
      <c r="N5" s="354"/>
      <c r="O5" s="354"/>
      <c r="P5" s="354"/>
      <c r="Q5" s="354"/>
      <c r="R5" s="354"/>
      <c r="S5" s="354"/>
      <c r="T5" s="354"/>
      <c r="U5" s="354"/>
      <c r="V5" s="354"/>
      <c r="W5" s="354"/>
      <c r="X5" s="354"/>
      <c r="Y5" s="354"/>
      <c r="Z5" s="354"/>
      <c r="AA5" s="354"/>
    </row>
    <row r="6" spans="1:27" s="35" customFormat="1" ht="18.75" customHeight="1" x14ac:dyDescent="0.25">
      <c r="A6" s="137">
        <v>1</v>
      </c>
      <c r="B6" s="137">
        <v>2</v>
      </c>
      <c r="C6" s="140">
        <v>3</v>
      </c>
      <c r="D6" s="137" t="s">
        <v>120</v>
      </c>
      <c r="E6" s="137" t="s">
        <v>121</v>
      </c>
      <c r="F6" s="137" t="s">
        <v>122</v>
      </c>
      <c r="G6" s="138">
        <v>4</v>
      </c>
      <c r="H6" s="138" t="s">
        <v>123</v>
      </c>
      <c r="I6" s="138">
        <v>5</v>
      </c>
      <c r="J6" s="138">
        <v>6</v>
      </c>
      <c r="K6" s="138">
        <v>7</v>
      </c>
      <c r="L6" s="139"/>
      <c r="M6" s="140">
        <v>8</v>
      </c>
      <c r="N6" s="141" t="s">
        <v>124</v>
      </c>
      <c r="O6" s="137">
        <v>9</v>
      </c>
      <c r="P6" s="137" t="s">
        <v>125</v>
      </c>
      <c r="Q6" s="137">
        <v>10</v>
      </c>
      <c r="R6" s="137">
        <v>11</v>
      </c>
      <c r="S6" s="137">
        <v>12</v>
      </c>
      <c r="T6" s="137">
        <v>13</v>
      </c>
      <c r="U6" s="273" t="s">
        <v>126</v>
      </c>
      <c r="V6" s="137">
        <v>14</v>
      </c>
      <c r="W6" s="140">
        <v>15</v>
      </c>
      <c r="X6" s="137" t="s">
        <v>127</v>
      </c>
      <c r="Y6" s="137">
        <v>0</v>
      </c>
      <c r="Z6" s="32">
        <v>3</v>
      </c>
      <c r="AA6" s="137">
        <v>17</v>
      </c>
    </row>
    <row r="7" spans="1:27" s="275" customFormat="1" ht="18.75" customHeight="1" x14ac:dyDescent="0.25">
      <c r="A7" s="142">
        <v>33</v>
      </c>
      <c r="B7" s="142" t="s">
        <v>553</v>
      </c>
      <c r="C7" s="274">
        <f t="shared" ref="C7:J7" si="0">C8+C33+C82</f>
        <v>59156.100000000006</v>
      </c>
      <c r="D7" s="143">
        <f t="shared" si="0"/>
        <v>22963.600000000002</v>
      </c>
      <c r="E7" s="143">
        <f t="shared" si="0"/>
        <v>2304.2999999999997</v>
      </c>
      <c r="F7" s="143">
        <f t="shared" si="0"/>
        <v>2878.2000000000003</v>
      </c>
      <c r="G7" s="143">
        <f t="shared" si="0"/>
        <v>61864.700000000012</v>
      </c>
      <c r="H7" s="143">
        <f t="shared" si="0"/>
        <v>59607.600000000013</v>
      </c>
      <c r="I7" s="143">
        <f t="shared" si="0"/>
        <v>0</v>
      </c>
      <c r="J7" s="143">
        <f t="shared" si="0"/>
        <v>0</v>
      </c>
      <c r="K7" s="143"/>
      <c r="L7" s="143">
        <f t="shared" ref="L7:AA7" si="1">L8+L33+L82</f>
        <v>0</v>
      </c>
      <c r="M7" s="143">
        <f t="shared" si="1"/>
        <v>26312.7</v>
      </c>
      <c r="N7" s="143">
        <f t="shared" si="1"/>
        <v>470.89999999999986</v>
      </c>
      <c r="O7" s="143">
        <f t="shared" si="1"/>
        <v>2481.7999999999997</v>
      </c>
      <c r="P7" s="143">
        <f t="shared" si="1"/>
        <v>1602.7</v>
      </c>
      <c r="Q7" s="143">
        <f t="shared" si="1"/>
        <v>31554.400000000001</v>
      </c>
      <c r="R7" s="143">
        <f t="shared" si="1"/>
        <v>22.5</v>
      </c>
      <c r="S7" s="143">
        <f t="shared" si="1"/>
        <v>919.2</v>
      </c>
      <c r="T7" s="143">
        <f t="shared" si="1"/>
        <v>6978.5999999999995</v>
      </c>
      <c r="U7" s="143">
        <f t="shared" si="1"/>
        <v>39474.700000000004</v>
      </c>
      <c r="V7" s="143">
        <f t="shared" si="1"/>
        <v>0</v>
      </c>
      <c r="W7" s="143">
        <f t="shared" si="1"/>
        <v>30.3</v>
      </c>
      <c r="X7" s="143">
        <f t="shared" si="1"/>
        <v>0</v>
      </c>
      <c r="Y7" s="143">
        <f t="shared" si="1"/>
        <v>0</v>
      </c>
      <c r="Z7" s="259">
        <f t="shared" si="1"/>
        <v>68299.500000000015</v>
      </c>
      <c r="AA7" s="143">
        <f t="shared" si="1"/>
        <v>0</v>
      </c>
    </row>
    <row r="8" spans="1:27" ht="18.75" customHeight="1" x14ac:dyDescent="0.25">
      <c r="A8" s="276" t="s">
        <v>554</v>
      </c>
      <c r="B8" s="277" t="s">
        <v>555</v>
      </c>
      <c r="C8" s="145">
        <f t="shared" ref="C8:J8" si="2">C9+C22+C25</f>
        <v>7609.2999999999993</v>
      </c>
      <c r="D8" s="145">
        <f t="shared" si="2"/>
        <v>6468.8</v>
      </c>
      <c r="E8" s="145">
        <f t="shared" si="2"/>
        <v>177.1</v>
      </c>
      <c r="F8" s="145">
        <f t="shared" si="2"/>
        <v>896</v>
      </c>
      <c r="G8" s="145">
        <f t="shared" si="2"/>
        <v>8534.2000000000007</v>
      </c>
      <c r="H8" s="145">
        <f t="shared" si="2"/>
        <v>8283.3000000000011</v>
      </c>
      <c r="I8" s="145">
        <f t="shared" si="2"/>
        <v>0</v>
      </c>
      <c r="J8" s="145">
        <f t="shared" si="2"/>
        <v>0</v>
      </c>
      <c r="K8" s="145"/>
      <c r="L8" s="145">
        <f t="shared" ref="L8:AA8" si="3">L9+L22+L25</f>
        <v>0</v>
      </c>
      <c r="M8" s="145">
        <f t="shared" si="3"/>
        <v>6908.9</v>
      </c>
      <c r="N8" s="278">
        <f t="shared" si="3"/>
        <v>-455.9000000000002</v>
      </c>
      <c r="O8" s="145">
        <f t="shared" si="3"/>
        <v>219.1</v>
      </c>
      <c r="P8" s="145">
        <f t="shared" si="3"/>
        <v>0</v>
      </c>
      <c r="Q8" s="145">
        <f t="shared" si="3"/>
        <v>0</v>
      </c>
      <c r="R8" s="145">
        <f t="shared" si="3"/>
        <v>0</v>
      </c>
      <c r="S8" s="145">
        <f t="shared" si="3"/>
        <v>68</v>
      </c>
      <c r="T8" s="145">
        <f t="shared" si="3"/>
        <v>0</v>
      </c>
      <c r="U8" s="145">
        <f t="shared" si="3"/>
        <v>68</v>
      </c>
      <c r="V8" s="145">
        <f t="shared" si="3"/>
        <v>0</v>
      </c>
      <c r="W8" s="145">
        <f t="shared" si="3"/>
        <v>0</v>
      </c>
      <c r="X8" s="145">
        <f t="shared" si="3"/>
        <v>0</v>
      </c>
      <c r="Y8" s="145">
        <f t="shared" si="3"/>
        <v>0</v>
      </c>
      <c r="Z8" s="327">
        <f t="shared" si="3"/>
        <v>7196</v>
      </c>
      <c r="AA8" s="145">
        <f t="shared" si="3"/>
        <v>0</v>
      </c>
    </row>
    <row r="9" spans="1:27" s="275" customFormat="1" ht="18.75" customHeight="1" x14ac:dyDescent="0.25">
      <c r="A9" s="279" t="s">
        <v>556</v>
      </c>
      <c r="B9" s="280" t="s">
        <v>557</v>
      </c>
      <c r="C9" s="146">
        <f t="shared" ref="C9:H9" si="4">C10+C11+C12+C13+C14+C15+C16+C17+C18+C19+C20</f>
        <v>3822.7</v>
      </c>
      <c r="D9" s="146">
        <f t="shared" si="4"/>
        <v>3212.6000000000004</v>
      </c>
      <c r="E9" s="146">
        <f t="shared" si="4"/>
        <v>165.1</v>
      </c>
      <c r="F9" s="146">
        <f t="shared" si="4"/>
        <v>377.6</v>
      </c>
      <c r="G9" s="146">
        <f t="shared" si="4"/>
        <v>4149.3</v>
      </c>
      <c r="H9" s="146">
        <f t="shared" si="4"/>
        <v>3958.6000000000004</v>
      </c>
      <c r="I9" s="146">
        <f>I10+I11+I12+I13+I14+I15+I16+I17+I18</f>
        <v>0</v>
      </c>
      <c r="J9" s="146">
        <f>J10+J11+J12+J13+J14+J15+J16+J17+J18</f>
        <v>0</v>
      </c>
      <c r="K9" s="146"/>
      <c r="L9" s="146">
        <f>L10+L11+L12+L13+L14+L15+L16+L17+L18</f>
        <v>0</v>
      </c>
      <c r="M9" s="146">
        <f>M10+M11+M12+M13+M14+M15+M16+M17+M18+M19+M20+M21</f>
        <v>3107</v>
      </c>
      <c r="N9" s="153">
        <f>N10+N11+N12+N13+N14+N15+N16+N17+N18+N19+N20+N21</f>
        <v>-483.20000000000005</v>
      </c>
      <c r="O9" s="146">
        <f>O10+O11+O12+O13+O14+O15+O16+O17+O18+O19+O20+O21</f>
        <v>207.1</v>
      </c>
      <c r="P9" s="146">
        <f>P10+P11+P12+P13+P14+P15+P16+P17+P18+P19+P20</f>
        <v>0</v>
      </c>
      <c r="Q9" s="146">
        <f>Q10+Q11+Q12+Q13+Q14+Q15+Q16+Q17+Q18+Q19+Q20+Q21</f>
        <v>0</v>
      </c>
      <c r="R9" s="146">
        <f>R10+R11+R12+R13+R14+R15+R16+R17+R18+R19+R20+R21</f>
        <v>0</v>
      </c>
      <c r="S9" s="146">
        <f>S10+S11+S12+S13+S14+S15+S16+S17+S18+S19+S20+S21</f>
        <v>68</v>
      </c>
      <c r="T9" s="146">
        <f>T10+T11+T12+T13+T14+T15+T16+T17+T18+T19+T20+T21</f>
        <v>0</v>
      </c>
      <c r="U9" s="146">
        <f>+Q9+R9+S9+T9</f>
        <v>68</v>
      </c>
      <c r="V9" s="146">
        <f>V10+V11+V12+V13+V14+V15+V16+V17+V18+V19+V20+V21</f>
        <v>0</v>
      </c>
      <c r="W9" s="146">
        <f>W10+W11+W12+W13+W14+W15+W16+W17+W18+W19+W20+W21</f>
        <v>0</v>
      </c>
      <c r="X9" s="146">
        <f>X10+X11+X12+X13+X14+X15+X16+X17+X18</f>
        <v>0</v>
      </c>
      <c r="Y9" s="146">
        <f>Y10+Y11+Y12+Y13+Y14+Y15+Y16+Y17+Y18</f>
        <v>0</v>
      </c>
      <c r="Z9" s="155">
        <f t="shared" ref="Z9" si="5">M9+O9+U9+V9+W9+X9</f>
        <v>3382.1</v>
      </c>
      <c r="AA9" s="146">
        <f>AA10+AA11+AA12+AA13+AA14+AA15+AA16+AA17+AA18</f>
        <v>0</v>
      </c>
    </row>
    <row r="10" spans="1:27" ht="18.75" customHeight="1" x14ac:dyDescent="0.25">
      <c r="A10" s="147" t="s">
        <v>558</v>
      </c>
      <c r="B10" s="281" t="s">
        <v>559</v>
      </c>
      <c r="C10" s="282">
        <v>722.3</v>
      </c>
      <c r="D10" s="150">
        <v>588.70000000000005</v>
      </c>
      <c r="E10" s="150">
        <v>6</v>
      </c>
      <c r="F10" s="150">
        <v>60.2</v>
      </c>
      <c r="G10" s="283">
        <v>773</v>
      </c>
      <c r="H10" s="283">
        <v>719.9</v>
      </c>
      <c r="I10" s="283"/>
      <c r="J10" s="283"/>
      <c r="K10" s="320" t="s">
        <v>560</v>
      </c>
      <c r="L10" s="321"/>
      <c r="M10" s="322">
        <v>660.3</v>
      </c>
      <c r="N10" s="284">
        <f>M10-D10-F10</f>
        <v>11.399999999999906</v>
      </c>
      <c r="O10" s="285">
        <f>1.5+5.5</f>
        <v>7</v>
      </c>
      <c r="P10" s="285"/>
      <c r="Q10" s="285"/>
      <c r="R10" s="285"/>
      <c r="S10" s="285">
        <v>68</v>
      </c>
      <c r="T10" s="285"/>
      <c r="U10" s="148">
        <f>SUM(Q10:T10)</f>
        <v>68</v>
      </c>
      <c r="V10" s="148"/>
      <c r="W10" s="148"/>
      <c r="X10" s="149"/>
      <c r="Y10" s="149"/>
      <c r="Z10" s="271">
        <f>M10+O10+U10+V10+W10+X10</f>
        <v>735.3</v>
      </c>
      <c r="AA10" s="286"/>
    </row>
    <row r="11" spans="1:27" ht="18.75" customHeight="1" x14ac:dyDescent="0.25">
      <c r="A11" s="147" t="s">
        <v>561</v>
      </c>
      <c r="B11" s="281" t="s">
        <v>562</v>
      </c>
      <c r="C11" s="282">
        <v>650.20000000000005</v>
      </c>
      <c r="D11" s="150">
        <v>549.4</v>
      </c>
      <c r="E11" s="150">
        <v>26</v>
      </c>
      <c r="F11" s="150">
        <v>74.8</v>
      </c>
      <c r="G11" s="283">
        <v>678.2</v>
      </c>
      <c r="H11" s="283">
        <v>648.4</v>
      </c>
      <c r="I11" s="283"/>
      <c r="J11" s="283"/>
      <c r="K11" s="320" t="s">
        <v>563</v>
      </c>
      <c r="L11" s="321"/>
      <c r="M11" s="322">
        <v>605.79999999999995</v>
      </c>
      <c r="N11" s="287">
        <f>M11-D11-F11</f>
        <v>-18.40000000000002</v>
      </c>
      <c r="O11" s="285">
        <f>2+25</f>
        <v>27</v>
      </c>
      <c r="P11" s="285"/>
      <c r="Q11" s="285"/>
      <c r="R11" s="285"/>
      <c r="S11" s="285"/>
      <c r="T11" s="285"/>
      <c r="U11" s="148">
        <f t="shared" ref="U11:U79" si="6">SUM(Q11:T11)</f>
        <v>0</v>
      </c>
      <c r="V11" s="285"/>
      <c r="W11" s="288"/>
      <c r="X11" s="286"/>
      <c r="Y11" s="286"/>
      <c r="Z11" s="271">
        <f t="shared" ref="Z11:Z79" si="7">M11+O11+U11+V11+W11+X11</f>
        <v>632.79999999999995</v>
      </c>
      <c r="AA11" s="286"/>
    </row>
    <row r="12" spans="1:27" ht="18.75" customHeight="1" x14ac:dyDescent="0.25">
      <c r="A12" s="147" t="s">
        <v>564</v>
      </c>
      <c r="B12" s="281" t="s">
        <v>565</v>
      </c>
      <c r="C12" s="282">
        <v>932.2</v>
      </c>
      <c r="D12" s="150">
        <v>733.4</v>
      </c>
      <c r="E12" s="150">
        <v>125</v>
      </c>
      <c r="F12" s="150">
        <v>73.8</v>
      </c>
      <c r="G12" s="283">
        <v>1024.3</v>
      </c>
      <c r="H12" s="283">
        <v>961.1</v>
      </c>
      <c r="I12" s="283"/>
      <c r="J12" s="283"/>
      <c r="K12" s="320" t="s">
        <v>566</v>
      </c>
      <c r="L12" s="321"/>
      <c r="M12" s="322">
        <v>790.1</v>
      </c>
      <c r="N12" s="287">
        <f t="shared" ref="N12" si="8">M12-D12-F12</f>
        <v>-17.099999999999952</v>
      </c>
      <c r="O12" s="285">
        <f>50+115</f>
        <v>165</v>
      </c>
      <c r="P12" s="285"/>
      <c r="Q12" s="285"/>
      <c r="R12" s="285"/>
      <c r="S12" s="285"/>
      <c r="T12" s="285"/>
      <c r="U12" s="148">
        <f>SUM(Q12:T12)</f>
        <v>0</v>
      </c>
      <c r="V12" s="285"/>
      <c r="W12" s="288"/>
      <c r="X12" s="286"/>
      <c r="Y12" s="286"/>
      <c r="Z12" s="271">
        <f t="shared" si="7"/>
        <v>955.1</v>
      </c>
      <c r="AA12" s="286"/>
    </row>
    <row r="13" spans="1:27" ht="18.75" customHeight="1" x14ac:dyDescent="0.25">
      <c r="A13" s="147" t="s">
        <v>567</v>
      </c>
      <c r="B13" s="281" t="s">
        <v>568</v>
      </c>
      <c r="C13" s="282">
        <v>450</v>
      </c>
      <c r="D13" s="150">
        <v>450</v>
      </c>
      <c r="E13" s="150"/>
      <c r="F13" s="150"/>
      <c r="G13" s="283">
        <v>550</v>
      </c>
      <c r="H13" s="283">
        <v>521.70000000000005</v>
      </c>
      <c r="I13" s="283"/>
      <c r="J13" s="283"/>
      <c r="K13" s="320" t="s">
        <v>569</v>
      </c>
      <c r="L13" s="321"/>
      <c r="M13" s="322">
        <v>45.8</v>
      </c>
      <c r="N13" s="287">
        <f>M13-D13-F13</f>
        <v>-404.2</v>
      </c>
      <c r="O13" s="285"/>
      <c r="P13" s="285"/>
      <c r="Q13" s="285"/>
      <c r="R13" s="285"/>
      <c r="S13" s="285"/>
      <c r="T13" s="285"/>
      <c r="U13" s="148">
        <f t="shared" si="6"/>
        <v>0</v>
      </c>
      <c r="V13" s="285"/>
      <c r="W13" s="288"/>
      <c r="X13" s="286"/>
      <c r="Y13" s="286"/>
      <c r="Z13" s="271">
        <f t="shared" si="7"/>
        <v>45.8</v>
      </c>
      <c r="AA13" s="286"/>
    </row>
    <row r="14" spans="1:27" ht="18.75" customHeight="1" x14ac:dyDescent="0.25">
      <c r="A14" s="147" t="s">
        <v>570</v>
      </c>
      <c r="B14" s="281" t="s">
        <v>571</v>
      </c>
      <c r="C14" s="282">
        <v>575.20000000000005</v>
      </c>
      <c r="D14" s="150">
        <v>513.29999999999995</v>
      </c>
      <c r="E14" s="150">
        <v>8.1</v>
      </c>
      <c r="F14" s="150">
        <v>53.8</v>
      </c>
      <c r="G14" s="283">
        <v>621.29999999999995</v>
      </c>
      <c r="H14" s="283">
        <v>619.6</v>
      </c>
      <c r="I14" s="283"/>
      <c r="J14" s="283"/>
      <c r="K14" s="320" t="s">
        <v>572</v>
      </c>
      <c r="L14" s="321"/>
      <c r="M14" s="322">
        <v>543.1</v>
      </c>
      <c r="N14" s="287">
        <f>M14-D14-F14</f>
        <v>-23.999999999999929</v>
      </c>
      <c r="O14" s="285">
        <v>8.1</v>
      </c>
      <c r="P14" s="285"/>
      <c r="Q14" s="285"/>
      <c r="R14" s="285"/>
      <c r="S14" s="285"/>
      <c r="T14" s="285"/>
      <c r="U14" s="148">
        <f>SUM(Q14:T14)</f>
        <v>0</v>
      </c>
      <c r="V14" s="285"/>
      <c r="W14" s="288"/>
      <c r="X14" s="289"/>
      <c r="Y14" s="289"/>
      <c r="Z14" s="271">
        <f>M14+O14+U14+V14+W14+X14</f>
        <v>551.20000000000005</v>
      </c>
      <c r="AA14" s="286"/>
    </row>
    <row r="15" spans="1:27" ht="18.75" hidden="1" customHeight="1" x14ac:dyDescent="0.25">
      <c r="A15" s="147" t="s">
        <v>573</v>
      </c>
      <c r="B15" s="281" t="s">
        <v>574</v>
      </c>
      <c r="C15" s="282">
        <v>0</v>
      </c>
      <c r="D15" s="150"/>
      <c r="E15" s="150"/>
      <c r="F15" s="150"/>
      <c r="G15" s="283"/>
      <c r="H15" s="283"/>
      <c r="I15" s="283"/>
      <c r="J15" s="283"/>
      <c r="K15" s="323"/>
      <c r="L15" s="321"/>
      <c r="M15" s="322"/>
      <c r="N15" s="287">
        <f t="shared" ref="N15:N20" si="9">M15-D15-F15</f>
        <v>0</v>
      </c>
      <c r="O15" s="285"/>
      <c r="P15" s="285"/>
      <c r="Q15" s="285"/>
      <c r="R15" s="285"/>
      <c r="S15" s="285"/>
      <c r="T15" s="285"/>
      <c r="U15" s="148">
        <f t="shared" si="6"/>
        <v>0</v>
      </c>
      <c r="V15" s="285"/>
      <c r="W15" s="288"/>
      <c r="X15" s="289"/>
      <c r="Y15" s="289"/>
      <c r="Z15" s="271">
        <f t="shared" si="7"/>
        <v>0</v>
      </c>
      <c r="AA15" s="286"/>
    </row>
    <row r="16" spans="1:27" ht="18.75" hidden="1" customHeight="1" x14ac:dyDescent="0.25">
      <c r="A16" s="147" t="s">
        <v>575</v>
      </c>
      <c r="B16" s="281" t="s">
        <v>576</v>
      </c>
      <c r="C16" s="282">
        <v>0</v>
      </c>
      <c r="D16" s="150">
        <v>0</v>
      </c>
      <c r="E16" s="150"/>
      <c r="F16" s="150"/>
      <c r="G16" s="283"/>
      <c r="H16" s="283"/>
      <c r="I16" s="283"/>
      <c r="J16" s="283"/>
      <c r="K16" s="323"/>
      <c r="L16" s="321"/>
      <c r="M16" s="322"/>
      <c r="N16" s="287">
        <f t="shared" si="9"/>
        <v>0</v>
      </c>
      <c r="O16" s="285"/>
      <c r="P16" s="285"/>
      <c r="Q16" s="285"/>
      <c r="R16" s="285"/>
      <c r="S16" s="285"/>
      <c r="T16" s="285"/>
      <c r="U16" s="148">
        <f t="shared" si="6"/>
        <v>0</v>
      </c>
      <c r="V16" s="285"/>
      <c r="W16" s="288"/>
      <c r="X16" s="289"/>
      <c r="Y16" s="289"/>
      <c r="Z16" s="271">
        <f t="shared" si="7"/>
        <v>0</v>
      </c>
      <c r="AA16" s="286"/>
    </row>
    <row r="17" spans="1:27" ht="18.75" customHeight="1" x14ac:dyDescent="0.25">
      <c r="A17" s="147" t="s">
        <v>577</v>
      </c>
      <c r="B17" s="281" t="s">
        <v>578</v>
      </c>
      <c r="C17" s="282">
        <v>238.8</v>
      </c>
      <c r="D17" s="150">
        <v>148.80000000000001</v>
      </c>
      <c r="E17" s="150"/>
      <c r="F17" s="150">
        <v>90</v>
      </c>
      <c r="G17" s="283">
        <v>248.5</v>
      </c>
      <c r="H17" s="283">
        <v>247.9</v>
      </c>
      <c r="I17" s="283"/>
      <c r="J17" s="283"/>
      <c r="K17" s="151" t="s">
        <v>579</v>
      </c>
      <c r="L17" s="321"/>
      <c r="M17" s="322">
        <v>308.39999999999998</v>
      </c>
      <c r="N17" s="287">
        <f t="shared" si="9"/>
        <v>69.599999999999966</v>
      </c>
      <c r="O17" s="285"/>
      <c r="P17" s="285"/>
      <c r="Q17" s="285"/>
      <c r="R17" s="285"/>
      <c r="S17" s="285"/>
      <c r="T17" s="285"/>
      <c r="U17" s="148">
        <f t="shared" si="6"/>
        <v>0</v>
      </c>
      <c r="V17" s="285"/>
      <c r="W17" s="288"/>
      <c r="X17" s="289"/>
      <c r="Y17" s="289"/>
      <c r="Z17" s="271">
        <f t="shared" si="7"/>
        <v>308.39999999999998</v>
      </c>
      <c r="AA17" s="286"/>
    </row>
    <row r="18" spans="1:27" ht="18.75" customHeight="1" x14ac:dyDescent="0.25">
      <c r="A18" s="147" t="s">
        <v>580</v>
      </c>
      <c r="B18" s="281" t="s">
        <v>581</v>
      </c>
      <c r="C18" s="282">
        <v>25</v>
      </c>
      <c r="D18" s="150"/>
      <c r="E18" s="150"/>
      <c r="F18" s="150">
        <v>25</v>
      </c>
      <c r="G18" s="283">
        <v>25</v>
      </c>
      <c r="H18" s="283">
        <v>25</v>
      </c>
      <c r="I18" s="283"/>
      <c r="J18" s="283"/>
      <c r="K18" s="320" t="s">
        <v>582</v>
      </c>
      <c r="L18" s="321"/>
      <c r="M18" s="322">
        <v>30</v>
      </c>
      <c r="N18" s="287">
        <f t="shared" si="9"/>
        <v>5</v>
      </c>
      <c r="O18" s="285"/>
      <c r="P18" s="285"/>
      <c r="Q18" s="285"/>
      <c r="R18" s="285"/>
      <c r="S18" s="285"/>
      <c r="T18" s="285"/>
      <c r="U18" s="148">
        <f t="shared" si="6"/>
        <v>0</v>
      </c>
      <c r="V18" s="285"/>
      <c r="W18" s="288"/>
      <c r="X18" s="286"/>
      <c r="Y18" s="286"/>
      <c r="Z18" s="271">
        <f t="shared" si="7"/>
        <v>30</v>
      </c>
      <c r="AA18" s="286"/>
    </row>
    <row r="19" spans="1:27" ht="18.75" customHeight="1" x14ac:dyDescent="0.25">
      <c r="A19" s="147" t="s">
        <v>583</v>
      </c>
      <c r="B19" s="281" t="s">
        <v>584</v>
      </c>
      <c r="C19" s="282">
        <v>116</v>
      </c>
      <c r="D19" s="150">
        <v>116</v>
      </c>
      <c r="E19" s="150"/>
      <c r="F19" s="150"/>
      <c r="G19" s="283">
        <v>116</v>
      </c>
      <c r="H19" s="283">
        <v>115.9</v>
      </c>
      <c r="I19" s="283"/>
      <c r="J19" s="283"/>
      <c r="K19" s="320" t="s">
        <v>585</v>
      </c>
      <c r="L19" s="321"/>
      <c r="M19" s="322">
        <v>3.6</v>
      </c>
      <c r="N19" s="287">
        <f t="shared" si="9"/>
        <v>-112.4</v>
      </c>
      <c r="O19" s="285"/>
      <c r="P19" s="285"/>
      <c r="Q19" s="285"/>
      <c r="R19" s="285"/>
      <c r="S19" s="285"/>
      <c r="T19" s="285"/>
      <c r="U19" s="148">
        <f t="shared" si="6"/>
        <v>0</v>
      </c>
      <c r="V19" s="285"/>
      <c r="W19" s="288"/>
      <c r="X19" s="286"/>
      <c r="Y19" s="286"/>
      <c r="Z19" s="271">
        <f t="shared" si="7"/>
        <v>3.6</v>
      </c>
      <c r="AA19" s="286"/>
    </row>
    <row r="20" spans="1:27" ht="18.75" customHeight="1" x14ac:dyDescent="0.25">
      <c r="A20" s="147" t="s">
        <v>586</v>
      </c>
      <c r="B20" s="281" t="s">
        <v>587</v>
      </c>
      <c r="C20" s="282">
        <v>113</v>
      </c>
      <c r="D20" s="150">
        <v>113</v>
      </c>
      <c r="E20" s="150"/>
      <c r="F20" s="150"/>
      <c r="G20" s="283">
        <v>113</v>
      </c>
      <c r="H20" s="283">
        <v>99.1</v>
      </c>
      <c r="I20" s="283"/>
      <c r="J20" s="283"/>
      <c r="K20" s="320" t="s">
        <v>588</v>
      </c>
      <c r="L20" s="321"/>
      <c r="M20" s="322">
        <v>54.8</v>
      </c>
      <c r="N20" s="287">
        <f t="shared" si="9"/>
        <v>-58.2</v>
      </c>
      <c r="O20" s="285"/>
      <c r="P20" s="285"/>
      <c r="Q20" s="285"/>
      <c r="R20" s="285"/>
      <c r="S20" s="285"/>
      <c r="T20" s="285"/>
      <c r="U20" s="148">
        <f t="shared" si="6"/>
        <v>0</v>
      </c>
      <c r="V20" s="285"/>
      <c r="W20" s="288"/>
      <c r="X20" s="286"/>
      <c r="Y20" s="286"/>
      <c r="Z20" s="271">
        <f t="shared" si="7"/>
        <v>54.8</v>
      </c>
      <c r="AA20" s="286"/>
    </row>
    <row r="21" spans="1:27" ht="18.75" customHeight="1" x14ac:dyDescent="0.25">
      <c r="A21" s="147" t="s">
        <v>589</v>
      </c>
      <c r="B21" s="281" t="s">
        <v>590</v>
      </c>
      <c r="C21" s="282"/>
      <c r="D21" s="150"/>
      <c r="E21" s="150"/>
      <c r="F21" s="150"/>
      <c r="G21" s="283"/>
      <c r="H21" s="283"/>
      <c r="I21" s="283"/>
      <c r="J21" s="283"/>
      <c r="K21" s="320" t="s">
        <v>591</v>
      </c>
      <c r="L21" s="321"/>
      <c r="M21" s="322">
        <v>65.099999999999994</v>
      </c>
      <c r="N21" s="287">
        <f>M21-D21-F21</f>
        <v>65.099999999999994</v>
      </c>
      <c r="O21" s="285"/>
      <c r="P21" s="285"/>
      <c r="Q21" s="285"/>
      <c r="R21" s="285"/>
      <c r="S21" s="285"/>
      <c r="T21" s="285"/>
      <c r="U21" s="148">
        <f t="shared" si="6"/>
        <v>0</v>
      </c>
      <c r="V21" s="285"/>
      <c r="W21" s="288"/>
      <c r="X21" s="286"/>
      <c r="Y21" s="286"/>
      <c r="Z21" s="271">
        <f t="shared" si="7"/>
        <v>65.099999999999994</v>
      </c>
      <c r="AA21" s="286"/>
    </row>
    <row r="22" spans="1:27" s="275" customFormat="1" ht="18.75" customHeight="1" x14ac:dyDescent="0.25">
      <c r="A22" s="152" t="s">
        <v>592</v>
      </c>
      <c r="B22" s="290" t="s">
        <v>593</v>
      </c>
      <c r="C22" s="291">
        <f>C23+C24</f>
        <v>65</v>
      </c>
      <c r="D22" s="291">
        <f t="shared" ref="D22:AA22" si="10">D23+D24</f>
        <v>65</v>
      </c>
      <c r="E22" s="291">
        <f t="shared" si="10"/>
        <v>0</v>
      </c>
      <c r="F22" s="291">
        <f t="shared" si="10"/>
        <v>0</v>
      </c>
      <c r="G22" s="291">
        <f t="shared" si="10"/>
        <v>65.3</v>
      </c>
      <c r="H22" s="291">
        <f t="shared" si="10"/>
        <v>34.9</v>
      </c>
      <c r="I22" s="291">
        <f t="shared" si="10"/>
        <v>0</v>
      </c>
      <c r="J22" s="291">
        <f t="shared" si="10"/>
        <v>0</v>
      </c>
      <c r="K22" s="291"/>
      <c r="L22" s="291">
        <f t="shared" si="10"/>
        <v>0</v>
      </c>
      <c r="M22" s="292">
        <f>M23+M24</f>
        <v>153</v>
      </c>
      <c r="N22" s="293">
        <f t="shared" ref="N22:O22" si="11">N23+N24</f>
        <v>88</v>
      </c>
      <c r="O22" s="292">
        <f t="shared" si="11"/>
        <v>0</v>
      </c>
      <c r="P22" s="292">
        <f t="shared" si="10"/>
        <v>0</v>
      </c>
      <c r="Q22" s="292">
        <f t="shared" si="10"/>
        <v>0</v>
      </c>
      <c r="R22" s="292">
        <f t="shared" si="10"/>
        <v>0</v>
      </c>
      <c r="S22" s="292">
        <f t="shared" si="10"/>
        <v>0</v>
      </c>
      <c r="T22" s="292">
        <f t="shared" si="10"/>
        <v>0</v>
      </c>
      <c r="U22" s="146">
        <f t="shared" si="6"/>
        <v>0</v>
      </c>
      <c r="V22" s="292">
        <f t="shared" si="10"/>
        <v>0</v>
      </c>
      <c r="W22" s="292">
        <f t="shared" si="10"/>
        <v>0</v>
      </c>
      <c r="X22" s="292">
        <f t="shared" si="10"/>
        <v>0</v>
      </c>
      <c r="Y22" s="292">
        <f t="shared" si="10"/>
        <v>0</v>
      </c>
      <c r="Z22" s="155">
        <f t="shared" si="7"/>
        <v>153</v>
      </c>
      <c r="AA22" s="292">
        <f t="shared" si="10"/>
        <v>0</v>
      </c>
    </row>
    <row r="23" spans="1:27" ht="18.75" customHeight="1" x14ac:dyDescent="0.25">
      <c r="A23" s="147" t="s">
        <v>594</v>
      </c>
      <c r="B23" s="281" t="s">
        <v>595</v>
      </c>
      <c r="C23" s="282">
        <v>45</v>
      </c>
      <c r="D23" s="150">
        <v>45</v>
      </c>
      <c r="E23" s="150"/>
      <c r="F23" s="150"/>
      <c r="G23" s="283">
        <v>45.3</v>
      </c>
      <c r="H23" s="283">
        <v>34.9</v>
      </c>
      <c r="I23" s="283"/>
      <c r="J23" s="283"/>
      <c r="K23" s="320" t="s">
        <v>596</v>
      </c>
      <c r="L23" s="321"/>
      <c r="M23" s="322">
        <v>17.600000000000001</v>
      </c>
      <c r="N23" s="287">
        <f>M23-D23-F23</f>
        <v>-27.4</v>
      </c>
      <c r="O23" s="285"/>
      <c r="P23" s="285"/>
      <c r="Q23" s="285"/>
      <c r="R23" s="285"/>
      <c r="S23" s="285"/>
      <c r="T23" s="285"/>
      <c r="U23" s="148">
        <f t="shared" si="6"/>
        <v>0</v>
      </c>
      <c r="V23" s="285"/>
      <c r="W23" s="288"/>
      <c r="X23" s="286"/>
      <c r="Y23" s="286"/>
      <c r="Z23" s="271">
        <f t="shared" si="7"/>
        <v>17.600000000000001</v>
      </c>
      <c r="AA23" s="286"/>
    </row>
    <row r="24" spans="1:27" ht="18.75" customHeight="1" x14ac:dyDescent="0.25">
      <c r="A24" s="147" t="s">
        <v>597</v>
      </c>
      <c r="B24" s="281" t="s">
        <v>598</v>
      </c>
      <c r="C24" s="282">
        <v>20</v>
      </c>
      <c r="D24" s="150">
        <v>20</v>
      </c>
      <c r="E24" s="150"/>
      <c r="F24" s="150"/>
      <c r="G24" s="283">
        <v>20</v>
      </c>
      <c r="H24" s="283">
        <v>0</v>
      </c>
      <c r="I24" s="283"/>
      <c r="J24" s="283"/>
      <c r="K24" s="151" t="s">
        <v>599</v>
      </c>
      <c r="L24" s="283"/>
      <c r="M24" s="288">
        <f>337-201.6</f>
        <v>135.4</v>
      </c>
      <c r="N24" s="287">
        <f>M24-D24-F24</f>
        <v>115.4</v>
      </c>
      <c r="O24" s="285"/>
      <c r="P24" s="285"/>
      <c r="Q24" s="285"/>
      <c r="R24" s="285"/>
      <c r="S24" s="285"/>
      <c r="T24" s="285"/>
      <c r="U24" s="148">
        <f t="shared" si="6"/>
        <v>0</v>
      </c>
      <c r="V24" s="285"/>
      <c r="W24" s="288"/>
      <c r="X24" s="286"/>
      <c r="Y24" s="286"/>
      <c r="Z24" s="271">
        <f t="shared" si="7"/>
        <v>135.4</v>
      </c>
      <c r="AA24" s="286"/>
    </row>
    <row r="25" spans="1:27" s="275" customFormat="1" ht="18.75" customHeight="1" x14ac:dyDescent="0.25">
      <c r="A25" s="152" t="s">
        <v>600</v>
      </c>
      <c r="B25" s="290" t="s">
        <v>601</v>
      </c>
      <c r="C25" s="291">
        <f>C26+C27+C28+C29+C30+C31+C32</f>
        <v>3721.6</v>
      </c>
      <c r="D25" s="291">
        <f t="shared" ref="D25:F25" si="12">D26+D27+D28+D29+D30+D31+D32</f>
        <v>3191.2</v>
      </c>
      <c r="E25" s="291">
        <f t="shared" si="12"/>
        <v>12</v>
      </c>
      <c r="F25" s="291">
        <f t="shared" si="12"/>
        <v>518.4</v>
      </c>
      <c r="G25" s="291">
        <f>G26+G27+G28+G29+G30+G31+G32</f>
        <v>4319.6000000000004</v>
      </c>
      <c r="H25" s="291">
        <f t="shared" ref="H25" si="13">H26+H27+H28+H29+H30+H31+H32</f>
        <v>4289.8000000000011</v>
      </c>
      <c r="I25" s="291">
        <f t="shared" ref="I25:AA25" si="14">I26+I27+I28+I29+I30+I31</f>
        <v>0</v>
      </c>
      <c r="J25" s="291">
        <f t="shared" si="14"/>
        <v>0</v>
      </c>
      <c r="K25" s="291"/>
      <c r="L25" s="291">
        <f t="shared" si="14"/>
        <v>0</v>
      </c>
      <c r="M25" s="292">
        <f>M26+M27+M28+M29+M30+M31+M32</f>
        <v>3648.9</v>
      </c>
      <c r="N25" s="293">
        <f>N26+N27+N28+N29+N30+N31+N32</f>
        <v>-60.700000000000159</v>
      </c>
      <c r="O25" s="292">
        <f t="shared" ref="O25:Y25" si="15">O26+O27+O28+O29+O30+O31+O32</f>
        <v>12</v>
      </c>
      <c r="P25" s="292">
        <f t="shared" si="15"/>
        <v>0</v>
      </c>
      <c r="Q25" s="292">
        <f t="shared" si="15"/>
        <v>0</v>
      </c>
      <c r="R25" s="292">
        <f t="shared" si="15"/>
        <v>0</v>
      </c>
      <c r="S25" s="292">
        <f t="shared" si="15"/>
        <v>0</v>
      </c>
      <c r="T25" s="292">
        <f t="shared" si="15"/>
        <v>0</v>
      </c>
      <c r="U25" s="146">
        <f>+Q25+R25+S25+T25</f>
        <v>0</v>
      </c>
      <c r="V25" s="292">
        <f t="shared" si="15"/>
        <v>0</v>
      </c>
      <c r="W25" s="292">
        <f>W26+W27+W28+W29+W30+W31+W32</f>
        <v>0</v>
      </c>
      <c r="X25" s="292">
        <f t="shared" si="15"/>
        <v>0</v>
      </c>
      <c r="Y25" s="292">
        <f t="shared" si="15"/>
        <v>0</v>
      </c>
      <c r="Z25" s="155">
        <f t="shared" si="7"/>
        <v>3660.9</v>
      </c>
      <c r="AA25" s="292">
        <f t="shared" si="14"/>
        <v>0</v>
      </c>
    </row>
    <row r="26" spans="1:27" ht="18.75" customHeight="1" x14ac:dyDescent="0.25">
      <c r="A26" s="147" t="s">
        <v>602</v>
      </c>
      <c r="B26" s="281" t="s">
        <v>603</v>
      </c>
      <c r="C26" s="282">
        <v>79</v>
      </c>
      <c r="D26" s="150">
        <v>79</v>
      </c>
      <c r="E26" s="150"/>
      <c r="F26" s="150"/>
      <c r="G26" s="283">
        <v>127.4</v>
      </c>
      <c r="H26" s="283">
        <v>124.3</v>
      </c>
      <c r="I26" s="283"/>
      <c r="J26" s="283"/>
      <c r="K26" s="320" t="s">
        <v>604</v>
      </c>
      <c r="L26" s="321"/>
      <c r="M26" s="322">
        <f>120-51.5</f>
        <v>68.5</v>
      </c>
      <c r="N26" s="287">
        <f t="shared" ref="N26:N32" si="16">M26-D26-F26</f>
        <v>-10.5</v>
      </c>
      <c r="O26" s="285"/>
      <c r="P26" s="285"/>
      <c r="Q26" s="285"/>
      <c r="R26" s="285"/>
      <c r="S26" s="285"/>
      <c r="T26" s="285"/>
      <c r="U26" s="148">
        <f t="shared" si="6"/>
        <v>0</v>
      </c>
      <c r="V26" s="285"/>
      <c r="W26" s="288"/>
      <c r="X26" s="286"/>
      <c r="Y26" s="286"/>
      <c r="Z26" s="271">
        <f t="shared" si="7"/>
        <v>68.5</v>
      </c>
      <c r="AA26" s="286"/>
    </row>
    <row r="27" spans="1:27" ht="18.75" customHeight="1" x14ac:dyDescent="0.25">
      <c r="A27" s="147" t="s">
        <v>605</v>
      </c>
      <c r="B27" s="281" t="s">
        <v>606</v>
      </c>
      <c r="C27" s="282">
        <v>155</v>
      </c>
      <c r="D27" s="150">
        <v>110</v>
      </c>
      <c r="E27" s="150"/>
      <c r="F27" s="150">
        <v>45</v>
      </c>
      <c r="G27" s="283">
        <v>88.6</v>
      </c>
      <c r="H27" s="283">
        <v>88.5</v>
      </c>
      <c r="I27" s="283"/>
      <c r="J27" s="283"/>
      <c r="K27" s="320" t="s">
        <v>607</v>
      </c>
      <c r="L27" s="321"/>
      <c r="M27" s="322">
        <f>155-145</f>
        <v>10</v>
      </c>
      <c r="N27" s="287">
        <f t="shared" si="16"/>
        <v>-145</v>
      </c>
      <c r="O27" s="285"/>
      <c r="P27" s="285"/>
      <c r="Q27" s="285"/>
      <c r="R27" s="285"/>
      <c r="S27" s="285"/>
      <c r="T27" s="285"/>
      <c r="U27" s="148">
        <f t="shared" si="6"/>
        <v>0</v>
      </c>
      <c r="V27" s="285"/>
      <c r="W27" s="288"/>
      <c r="X27" s="286"/>
      <c r="Y27" s="286"/>
      <c r="Z27" s="271">
        <f t="shared" si="7"/>
        <v>10</v>
      </c>
      <c r="AA27" s="286"/>
    </row>
    <row r="28" spans="1:27" ht="18.75" customHeight="1" x14ac:dyDescent="0.25">
      <c r="A28" s="147" t="s">
        <v>608</v>
      </c>
      <c r="B28" s="281" t="s">
        <v>609</v>
      </c>
      <c r="C28" s="282">
        <v>15</v>
      </c>
      <c r="D28" s="150">
        <v>15</v>
      </c>
      <c r="E28" s="150"/>
      <c r="F28" s="150"/>
      <c r="G28" s="283">
        <v>13</v>
      </c>
      <c r="H28" s="283">
        <v>13</v>
      </c>
      <c r="I28" s="283"/>
      <c r="J28" s="283"/>
      <c r="K28" s="320" t="s">
        <v>610</v>
      </c>
      <c r="L28" s="321"/>
      <c r="M28" s="322">
        <f>20-6</f>
        <v>14</v>
      </c>
      <c r="N28" s="287">
        <f t="shared" si="16"/>
        <v>-1</v>
      </c>
      <c r="O28" s="285"/>
      <c r="P28" s="285"/>
      <c r="Q28" s="285"/>
      <c r="R28" s="285"/>
      <c r="S28" s="285"/>
      <c r="T28" s="285"/>
      <c r="U28" s="148">
        <f t="shared" si="6"/>
        <v>0</v>
      </c>
      <c r="V28" s="285"/>
      <c r="W28" s="288"/>
      <c r="X28" s="286"/>
      <c r="Y28" s="286"/>
      <c r="Z28" s="271">
        <f t="shared" si="7"/>
        <v>14</v>
      </c>
      <c r="AA28" s="286"/>
    </row>
    <row r="29" spans="1:27" ht="18.75" customHeight="1" x14ac:dyDescent="0.25">
      <c r="A29" s="147" t="s">
        <v>611</v>
      </c>
      <c r="B29" s="294" t="s">
        <v>612</v>
      </c>
      <c r="C29" s="282">
        <v>380</v>
      </c>
      <c r="D29" s="150">
        <v>180</v>
      </c>
      <c r="E29" s="150"/>
      <c r="F29" s="150">
        <v>200</v>
      </c>
      <c r="G29" s="283">
        <v>472.8</v>
      </c>
      <c r="H29" s="283">
        <v>472.8</v>
      </c>
      <c r="I29" s="283"/>
      <c r="J29" s="283"/>
      <c r="K29" s="320" t="s">
        <v>613</v>
      </c>
      <c r="L29" s="321"/>
      <c r="M29" s="322">
        <f>650-620</f>
        <v>30</v>
      </c>
      <c r="N29" s="287">
        <f t="shared" si="16"/>
        <v>-350</v>
      </c>
      <c r="O29" s="285"/>
      <c r="P29" s="285"/>
      <c r="Q29" s="285"/>
      <c r="R29" s="285"/>
      <c r="S29" s="285"/>
      <c r="T29" s="285"/>
      <c r="U29" s="148">
        <f t="shared" si="6"/>
        <v>0</v>
      </c>
      <c r="V29" s="285"/>
      <c r="W29" s="288"/>
      <c r="X29" s="286"/>
      <c r="Y29" s="286"/>
      <c r="Z29" s="271">
        <f t="shared" si="7"/>
        <v>30</v>
      </c>
      <c r="AA29" s="286"/>
    </row>
    <row r="30" spans="1:27" ht="18.75" customHeight="1" x14ac:dyDescent="0.25">
      <c r="A30" s="147" t="s">
        <v>614</v>
      </c>
      <c r="B30" s="157" t="s">
        <v>615</v>
      </c>
      <c r="C30" s="282">
        <v>1491.2</v>
      </c>
      <c r="D30" s="150">
        <v>1360</v>
      </c>
      <c r="E30" s="150"/>
      <c r="F30" s="150">
        <v>131.19999999999999</v>
      </c>
      <c r="G30" s="283">
        <v>1884</v>
      </c>
      <c r="H30" s="283">
        <v>1883.2</v>
      </c>
      <c r="I30" s="283"/>
      <c r="J30" s="283"/>
      <c r="K30" s="320" t="s">
        <v>616</v>
      </c>
      <c r="L30" s="321"/>
      <c r="M30" s="322">
        <f>2247.1-292.3</f>
        <v>1954.8</v>
      </c>
      <c r="N30" s="287">
        <f t="shared" si="16"/>
        <v>463.59999999999997</v>
      </c>
      <c r="O30" s="285"/>
      <c r="P30" s="285"/>
      <c r="Q30" s="285"/>
      <c r="R30" s="285"/>
      <c r="S30" s="285"/>
      <c r="T30" s="285"/>
      <c r="U30" s="148">
        <f t="shared" si="6"/>
        <v>0</v>
      </c>
      <c r="V30" s="285"/>
      <c r="W30" s="288"/>
      <c r="X30" s="286"/>
      <c r="Y30" s="286"/>
      <c r="Z30" s="271">
        <f t="shared" si="7"/>
        <v>1954.8</v>
      </c>
      <c r="AA30" s="286"/>
    </row>
    <row r="31" spans="1:27" ht="18.75" customHeight="1" x14ac:dyDescent="0.25">
      <c r="A31" s="147" t="s">
        <v>617</v>
      </c>
      <c r="B31" s="281" t="s">
        <v>618</v>
      </c>
      <c r="C31" s="282">
        <v>1473.4</v>
      </c>
      <c r="D31" s="150">
        <v>1319.2</v>
      </c>
      <c r="E31" s="150">
        <v>12</v>
      </c>
      <c r="F31" s="150">
        <v>142.19999999999999</v>
      </c>
      <c r="G31" s="283">
        <v>1605.8</v>
      </c>
      <c r="H31" s="283">
        <v>1600.4</v>
      </c>
      <c r="I31" s="283"/>
      <c r="J31" s="283"/>
      <c r="K31" s="320" t="s">
        <v>619</v>
      </c>
      <c r="L31" s="321"/>
      <c r="M31" s="322">
        <f>3153.5-1623.4</f>
        <v>1530.1</v>
      </c>
      <c r="N31" s="287">
        <f t="shared" si="16"/>
        <v>68.699999999999875</v>
      </c>
      <c r="O31" s="285">
        <v>12</v>
      </c>
      <c r="P31" s="285"/>
      <c r="Q31" s="285"/>
      <c r="R31" s="285"/>
      <c r="S31" s="285"/>
      <c r="T31" s="285"/>
      <c r="U31" s="148">
        <f t="shared" si="6"/>
        <v>0</v>
      </c>
      <c r="V31" s="285"/>
      <c r="W31" s="288"/>
      <c r="X31" s="286"/>
      <c r="Y31" s="286"/>
      <c r="Z31" s="271">
        <f t="shared" si="7"/>
        <v>1542.1</v>
      </c>
      <c r="AA31" s="286"/>
    </row>
    <row r="32" spans="1:27" ht="36" customHeight="1" x14ac:dyDescent="0.25">
      <c r="A32" s="147" t="s">
        <v>620</v>
      </c>
      <c r="B32" s="281" t="s">
        <v>621</v>
      </c>
      <c r="C32" s="282">
        <v>128</v>
      </c>
      <c r="D32" s="150">
        <v>128</v>
      </c>
      <c r="E32" s="150"/>
      <c r="F32" s="150"/>
      <c r="G32" s="283">
        <v>128</v>
      </c>
      <c r="H32" s="283">
        <v>107.6</v>
      </c>
      <c r="I32" s="283"/>
      <c r="J32" s="283"/>
      <c r="K32" s="74"/>
      <c r="L32" s="283"/>
      <c r="M32" s="288">
        <f>8.3+33.2</f>
        <v>41.5</v>
      </c>
      <c r="N32" s="287">
        <f t="shared" si="16"/>
        <v>-86.5</v>
      </c>
      <c r="O32" s="285"/>
      <c r="P32" s="285"/>
      <c r="Q32" s="285"/>
      <c r="R32" s="285"/>
      <c r="S32" s="285"/>
      <c r="T32" s="285"/>
      <c r="U32" s="148">
        <f t="shared" si="6"/>
        <v>0</v>
      </c>
      <c r="V32" s="285"/>
      <c r="W32" s="288"/>
      <c r="X32" s="286"/>
      <c r="Y32" s="286"/>
      <c r="Z32" s="271">
        <f t="shared" si="7"/>
        <v>41.5</v>
      </c>
      <c r="AA32" s="286"/>
    </row>
    <row r="33" spans="1:27" s="275" customFormat="1" ht="18.75" customHeight="1" x14ac:dyDescent="0.25">
      <c r="A33" s="144" t="s">
        <v>622</v>
      </c>
      <c r="B33" s="295" t="s">
        <v>623</v>
      </c>
      <c r="C33" s="296">
        <f t="shared" ref="C33:AA33" si="17">C34+C65+C75</f>
        <v>50291.100000000006</v>
      </c>
      <c r="D33" s="296">
        <f t="shared" si="17"/>
        <v>15490.1</v>
      </c>
      <c r="E33" s="296">
        <f t="shared" si="17"/>
        <v>2127.1999999999998</v>
      </c>
      <c r="F33" s="296">
        <f t="shared" si="17"/>
        <v>1937.8000000000002</v>
      </c>
      <c r="G33" s="296">
        <f t="shared" si="17"/>
        <v>51239.500000000007</v>
      </c>
      <c r="H33" s="296">
        <f t="shared" si="17"/>
        <v>49627.30000000001</v>
      </c>
      <c r="I33" s="296">
        <f t="shared" si="17"/>
        <v>0</v>
      </c>
      <c r="J33" s="296">
        <f t="shared" si="17"/>
        <v>0</v>
      </c>
      <c r="K33" s="296"/>
      <c r="L33" s="296">
        <f t="shared" si="17"/>
        <v>0</v>
      </c>
      <c r="M33" s="297">
        <f t="shared" si="17"/>
        <v>17638.000000000004</v>
      </c>
      <c r="N33" s="298">
        <f t="shared" si="17"/>
        <v>210.10000000000002</v>
      </c>
      <c r="O33" s="297">
        <f t="shared" si="17"/>
        <v>2262.6999999999998</v>
      </c>
      <c r="P33" s="297">
        <f t="shared" si="17"/>
        <v>1602.7</v>
      </c>
      <c r="Q33" s="297">
        <f t="shared" si="17"/>
        <v>31554.400000000001</v>
      </c>
      <c r="R33" s="297">
        <f t="shared" si="17"/>
        <v>22.5</v>
      </c>
      <c r="S33" s="297">
        <f t="shared" si="17"/>
        <v>851.2</v>
      </c>
      <c r="T33" s="297">
        <f t="shared" si="17"/>
        <v>5356.0999999999995</v>
      </c>
      <c r="U33" s="297">
        <f t="shared" si="17"/>
        <v>37784.200000000004</v>
      </c>
      <c r="V33" s="297">
        <f t="shared" si="17"/>
        <v>0</v>
      </c>
      <c r="W33" s="297">
        <f t="shared" si="17"/>
        <v>30.3</v>
      </c>
      <c r="X33" s="297">
        <f t="shared" si="17"/>
        <v>0</v>
      </c>
      <c r="Y33" s="297">
        <f t="shared" si="17"/>
        <v>0</v>
      </c>
      <c r="Z33" s="327">
        <f t="shared" si="17"/>
        <v>57715.200000000019</v>
      </c>
      <c r="AA33" s="297">
        <f t="shared" si="17"/>
        <v>0</v>
      </c>
    </row>
    <row r="34" spans="1:27" s="275" customFormat="1" ht="18.75" customHeight="1" x14ac:dyDescent="0.25">
      <c r="A34" s="152" t="s">
        <v>624</v>
      </c>
      <c r="B34" s="290" t="s">
        <v>625</v>
      </c>
      <c r="C34" s="291">
        <f>C35+C36+C37+C38+C39+C40+C41+C42+C43+C44+C45+C46+C47+C48+C49+C50+C51+C52+C53+C54+C55+C56+C57+C58+C59+C60</f>
        <v>49741.700000000004</v>
      </c>
      <c r="D34" s="291">
        <f t="shared" ref="D34:H34" si="18">D35+D36+D37+D38+D39+D40+D41+D42+D43+D44+D45+D46+D47+D48+D49+D50+D51+D52+D53+D54+D55+D56+D57+D58+D59+D60</f>
        <v>15032.6</v>
      </c>
      <c r="E34" s="291">
        <f t="shared" si="18"/>
        <v>2127.1999999999998</v>
      </c>
      <c r="F34" s="291">
        <f t="shared" si="18"/>
        <v>1902.8000000000002</v>
      </c>
      <c r="G34" s="291">
        <f t="shared" si="18"/>
        <v>50676.800000000003</v>
      </c>
      <c r="H34" s="291">
        <f t="shared" si="18"/>
        <v>49245.900000000009</v>
      </c>
      <c r="I34" s="291">
        <f t="shared" ref="I34:L34" si="19">I35+I36+I37+I38+I39+I40+I41+I42+I43+I44+I45+I46+I47+I48+I49+I50+I51+I52+I53+I54+I55+I56+I57+I58</f>
        <v>0</v>
      </c>
      <c r="J34" s="291">
        <f t="shared" si="19"/>
        <v>0</v>
      </c>
      <c r="K34" s="291"/>
      <c r="L34" s="291">
        <f t="shared" si="19"/>
        <v>0</v>
      </c>
      <c r="M34" s="292">
        <f>M35+M36+M37+M38+M39+M40+M41+M42+M43+M44+M45+M46+M47+M48+M49+M50+M51+M52+M53+M54+M55+M56+M57+M58+M59+M60+M61+M62+M63+M64</f>
        <v>17209.300000000003</v>
      </c>
      <c r="N34" s="293">
        <f>N35+N36+N37+N38+N39+N40+N41+N42+N43+N44+N45+N46+N47+N48+N49+N50+N51+N52+N53+N54+N55+N56+N57+N58+N59+N60+N61+N62+N63+N64</f>
        <v>273.90000000000003</v>
      </c>
      <c r="O34" s="292">
        <f>O35+O36+O37+O38+O39+O40+O41+O42+O43+O44+O45+O46+O47+O48+O49+O50+O51+O52+O53+O54+O55+O56+O57+O58+O59+O60+O61+O62+O63+O64</f>
        <v>2262.6999999999998</v>
      </c>
      <c r="P34" s="292">
        <f t="shared" ref="P34:AA34" si="20">P35+P36+P37+P38+P39+P40+P41+P42+P43+P44+P45+P46+P47+P48+P49+P50+P51+P52+P53+P54+P55+P56+P57+P58+P59+P60+P61</f>
        <v>1602.7</v>
      </c>
      <c r="Q34" s="292">
        <f>Q35+Q36+Q37+Q38+Q39+Q40+Q41+Q42+Q43+Q44+Q45+Q46+Q47+Q48+Q49+Q50+Q51+Q52+Q53+Q54+Q55+Q56+Q57+Q58+Q59+Q60+Q61+Q62+Q63+Q64</f>
        <v>31554.400000000001</v>
      </c>
      <c r="R34" s="292">
        <f>R35+R36+R37+R38+R39+R40+R41+R42+R43+R44+R45+R46+R47+R48+R49+R50+R51+R52+R53+R54+R55+R56+R57+R58+R59+R60+R61+R62+R63+R64</f>
        <v>0</v>
      </c>
      <c r="S34" s="292">
        <f>S35+S36+S37+S38+S39+S40+S41+S42+S43+S44+S45+S46+S47+S48+S49+S50+S51+S52+S53+S54+S55+S56+S57+S58+S59+S60+S61+S62+S63+S64</f>
        <v>816.2</v>
      </c>
      <c r="T34" s="292">
        <f>T35+T36+T37+T38+T39+T40+T41+T42+T43+T44+T45+T46+T47+T48+T49+T50+T51+T52+T53+T54+T55+T56+T57+T58+T59+T60+T61+T62+T63+T64</f>
        <v>5356.0999999999995</v>
      </c>
      <c r="U34" s="146">
        <f>+Q34+R34+S34+T34</f>
        <v>37726.700000000004</v>
      </c>
      <c r="V34" s="292">
        <f>V35+V36+V37+V38+V39+V40+V41+V42+V43+V44+V45+V46+V47+V48+V49+V50+V51+V52+V53+V54+V55+V56+V57+V58+V59+V60+V61+V62+V63+V64</f>
        <v>0</v>
      </c>
      <c r="W34" s="292">
        <f>W35+W36+W37+W38+W39+W40+W41+W42+W43+W44+W45+W46+W47+W48+W49+W50+W51+W52+W53+W54+W55+W56+W57+W58+W59+W60+W61+W62+W63+W64</f>
        <v>30.3</v>
      </c>
      <c r="X34" s="292">
        <f t="shared" si="20"/>
        <v>0</v>
      </c>
      <c r="Y34" s="292">
        <f t="shared" si="20"/>
        <v>0</v>
      </c>
      <c r="Z34" s="155">
        <f t="shared" ref="Z34" si="21">M34+O34+U34+V34+W34+X34</f>
        <v>57229.000000000015</v>
      </c>
      <c r="AA34" s="292">
        <f t="shared" si="20"/>
        <v>0</v>
      </c>
    </row>
    <row r="35" spans="1:27" ht="18.75" customHeight="1" x14ac:dyDescent="0.25">
      <c r="A35" s="147" t="s">
        <v>626</v>
      </c>
      <c r="B35" s="281" t="s">
        <v>627</v>
      </c>
      <c r="C35" s="282">
        <v>7745.5</v>
      </c>
      <c r="D35" s="150">
        <v>2491.4</v>
      </c>
      <c r="E35" s="150">
        <v>200.4</v>
      </c>
      <c r="F35" s="150">
        <v>357.6</v>
      </c>
      <c r="G35" s="283">
        <v>8114.2</v>
      </c>
      <c r="H35" s="283">
        <v>7814.2</v>
      </c>
      <c r="I35" s="283"/>
      <c r="J35" s="283"/>
      <c r="K35" s="320" t="s">
        <v>628</v>
      </c>
      <c r="L35" s="283"/>
      <c r="M35" s="288">
        <f>2633.7+114.7-31.3</f>
        <v>2717.0999999999995</v>
      </c>
      <c r="N35" s="287">
        <f>M35-D35-F35</f>
        <v>-131.90000000000066</v>
      </c>
      <c r="O35" s="285">
        <v>266.7</v>
      </c>
      <c r="P35" s="285"/>
      <c r="Q35" s="285">
        <v>5251.3</v>
      </c>
      <c r="R35" s="285"/>
      <c r="S35" s="285"/>
      <c r="T35" s="285"/>
      <c r="U35" s="148">
        <f t="shared" si="6"/>
        <v>5251.3</v>
      </c>
      <c r="V35" s="285"/>
      <c r="W35" s="288"/>
      <c r="X35" s="286"/>
      <c r="Y35" s="286"/>
      <c r="Z35" s="271">
        <f t="shared" si="7"/>
        <v>8235.0999999999985</v>
      </c>
      <c r="AA35" s="286"/>
    </row>
    <row r="36" spans="1:27" ht="18.75" customHeight="1" x14ac:dyDescent="0.25">
      <c r="A36" s="147" t="s">
        <v>629</v>
      </c>
      <c r="B36" s="281" t="s">
        <v>630</v>
      </c>
      <c r="C36" s="282">
        <v>97.4</v>
      </c>
      <c r="D36" s="150"/>
      <c r="E36" s="150"/>
      <c r="F36" s="150"/>
      <c r="G36" s="283">
        <v>101.2</v>
      </c>
      <c r="H36" s="283">
        <v>101.2</v>
      </c>
      <c r="I36" s="283"/>
      <c r="J36" s="283"/>
      <c r="K36" s="323"/>
      <c r="L36" s="283"/>
      <c r="M36" s="288">
        <v>0</v>
      </c>
      <c r="N36" s="287">
        <f t="shared" ref="N36:N73" si="22">M36-D36-F36</f>
        <v>0</v>
      </c>
      <c r="O36" s="285"/>
      <c r="P36" s="285"/>
      <c r="Q36" s="285">
        <v>108.5</v>
      </c>
      <c r="R36" s="285"/>
      <c r="S36" s="285"/>
      <c r="T36" s="285"/>
      <c r="U36" s="148">
        <f t="shared" si="6"/>
        <v>108.5</v>
      </c>
      <c r="V36" s="285"/>
      <c r="W36" s="288"/>
      <c r="X36" s="286"/>
      <c r="Y36" s="286"/>
      <c r="Z36" s="271">
        <f t="shared" si="7"/>
        <v>108.5</v>
      </c>
      <c r="AA36" s="286"/>
    </row>
    <row r="37" spans="1:27" ht="18.75" customHeight="1" x14ac:dyDescent="0.25">
      <c r="A37" s="147" t="s">
        <v>631</v>
      </c>
      <c r="B37" s="281" t="s">
        <v>632</v>
      </c>
      <c r="C37" s="282">
        <v>44.6</v>
      </c>
      <c r="D37" s="150"/>
      <c r="E37" s="150"/>
      <c r="F37" s="150"/>
      <c r="G37" s="286">
        <v>48</v>
      </c>
      <c r="H37" s="283">
        <v>47.9</v>
      </c>
      <c r="I37" s="283"/>
      <c r="J37" s="283"/>
      <c r="K37" s="323"/>
      <c r="L37" s="283"/>
      <c r="M37" s="288">
        <v>0</v>
      </c>
      <c r="N37" s="287">
        <f t="shared" si="22"/>
        <v>0</v>
      </c>
      <c r="O37" s="285"/>
      <c r="P37" s="285"/>
      <c r="Q37" s="285">
        <v>54.5</v>
      </c>
      <c r="R37" s="285"/>
      <c r="S37" s="285"/>
      <c r="T37" s="285"/>
      <c r="U37" s="148">
        <f t="shared" si="6"/>
        <v>54.5</v>
      </c>
      <c r="V37" s="285"/>
      <c r="W37" s="288"/>
      <c r="X37" s="286"/>
      <c r="Y37" s="286"/>
      <c r="Z37" s="271">
        <f t="shared" si="7"/>
        <v>54.5</v>
      </c>
      <c r="AA37" s="286"/>
    </row>
    <row r="38" spans="1:27" ht="18.75" customHeight="1" x14ac:dyDescent="0.25">
      <c r="A38" s="147" t="s">
        <v>633</v>
      </c>
      <c r="B38" s="281" t="s">
        <v>634</v>
      </c>
      <c r="C38" s="282">
        <v>1679.5</v>
      </c>
      <c r="D38" s="150">
        <v>167.6</v>
      </c>
      <c r="E38" s="150"/>
      <c r="F38" s="150">
        <v>15.8</v>
      </c>
      <c r="G38" s="283">
        <v>1622.6</v>
      </c>
      <c r="H38" s="283">
        <v>1588.6</v>
      </c>
      <c r="I38" s="283"/>
      <c r="J38" s="283"/>
      <c r="K38" s="320" t="s">
        <v>635</v>
      </c>
      <c r="L38" s="283"/>
      <c r="M38" s="288">
        <f>98.4-15.9+3.1</f>
        <v>85.6</v>
      </c>
      <c r="N38" s="287">
        <f t="shared" si="22"/>
        <v>-97.8</v>
      </c>
      <c r="O38" s="285"/>
      <c r="P38" s="285">
        <v>1602.7</v>
      </c>
      <c r="Q38" s="285">
        <v>1602.7</v>
      </c>
      <c r="R38" s="285"/>
      <c r="S38" s="285"/>
      <c r="T38" s="285"/>
      <c r="U38" s="148">
        <f t="shared" si="6"/>
        <v>1602.7</v>
      </c>
      <c r="V38" s="285"/>
      <c r="W38" s="288"/>
      <c r="X38" s="286"/>
      <c r="Y38" s="286"/>
      <c r="Z38" s="271">
        <f t="shared" si="7"/>
        <v>1688.3</v>
      </c>
      <c r="AA38" s="286"/>
    </row>
    <row r="39" spans="1:27" ht="18.75" customHeight="1" x14ac:dyDescent="0.25">
      <c r="A39" s="147" t="s">
        <v>636</v>
      </c>
      <c r="B39" s="281" t="s">
        <v>637</v>
      </c>
      <c r="C39" s="282">
        <v>15528</v>
      </c>
      <c r="D39" s="150">
        <v>620.6</v>
      </c>
      <c r="E39" s="150">
        <v>216.5</v>
      </c>
      <c r="F39" s="150">
        <v>92</v>
      </c>
      <c r="G39" s="283">
        <v>16851.2</v>
      </c>
      <c r="H39" s="283">
        <v>16591.099999999999</v>
      </c>
      <c r="I39" s="283"/>
      <c r="J39" s="283"/>
      <c r="K39" s="320" t="s">
        <v>638</v>
      </c>
      <c r="L39" s="283"/>
      <c r="M39" s="288">
        <f>910.2-136.4+21.1</f>
        <v>794.90000000000009</v>
      </c>
      <c r="N39" s="287">
        <f t="shared" si="22"/>
        <v>82.300000000000068</v>
      </c>
      <c r="O39" s="285">
        <v>218.9</v>
      </c>
      <c r="P39" s="285"/>
      <c r="Q39" s="285">
        <v>17302.2</v>
      </c>
      <c r="R39" s="285"/>
      <c r="S39" s="285"/>
      <c r="T39" s="285"/>
      <c r="U39" s="148">
        <f t="shared" si="6"/>
        <v>17302.2</v>
      </c>
      <c r="V39" s="285"/>
      <c r="W39" s="288"/>
      <c r="X39" s="286"/>
      <c r="Y39" s="286"/>
      <c r="Z39" s="271">
        <f t="shared" si="7"/>
        <v>18316</v>
      </c>
      <c r="AA39" s="286"/>
    </row>
    <row r="40" spans="1:27" ht="18.75" customHeight="1" x14ac:dyDescent="0.25">
      <c r="A40" s="147" t="s">
        <v>639</v>
      </c>
      <c r="B40" s="281" t="s">
        <v>640</v>
      </c>
      <c r="C40" s="282">
        <v>1841.9</v>
      </c>
      <c r="D40" s="150">
        <v>42.4</v>
      </c>
      <c r="E40" s="150"/>
      <c r="F40" s="150">
        <v>3.5</v>
      </c>
      <c r="G40" s="283">
        <v>1943.4</v>
      </c>
      <c r="H40" s="283">
        <v>1938.1</v>
      </c>
      <c r="I40" s="283"/>
      <c r="J40" s="283"/>
      <c r="K40" s="320" t="s">
        <v>641</v>
      </c>
      <c r="L40" s="283"/>
      <c r="M40" s="288">
        <f>56.2-7.6+1.3</f>
        <v>49.9</v>
      </c>
      <c r="N40" s="287">
        <f t="shared" si="22"/>
        <v>4</v>
      </c>
      <c r="O40" s="285"/>
      <c r="P40" s="285"/>
      <c r="Q40" s="285">
        <v>2047.2</v>
      </c>
      <c r="R40" s="285"/>
      <c r="S40" s="285"/>
      <c r="T40" s="285"/>
      <c r="U40" s="148">
        <f t="shared" si="6"/>
        <v>2047.2</v>
      </c>
      <c r="V40" s="285"/>
      <c r="W40" s="288"/>
      <c r="X40" s="286"/>
      <c r="Y40" s="286"/>
      <c r="Z40" s="271">
        <f t="shared" si="7"/>
        <v>2097.1</v>
      </c>
      <c r="AA40" s="286"/>
    </row>
    <row r="41" spans="1:27" ht="18.75" customHeight="1" x14ac:dyDescent="0.25">
      <c r="A41" s="147" t="s">
        <v>642</v>
      </c>
      <c r="B41" s="281" t="s">
        <v>643</v>
      </c>
      <c r="C41" s="282">
        <v>467.9</v>
      </c>
      <c r="D41" s="150"/>
      <c r="E41" s="150"/>
      <c r="F41" s="150"/>
      <c r="G41" s="283">
        <v>143.30000000000001</v>
      </c>
      <c r="H41" s="283">
        <v>140.69999999999999</v>
      </c>
      <c r="I41" s="283"/>
      <c r="J41" s="283"/>
      <c r="K41" s="323"/>
      <c r="L41" s="283"/>
      <c r="M41" s="288">
        <v>0</v>
      </c>
      <c r="N41" s="287">
        <f t="shared" si="22"/>
        <v>0</v>
      </c>
      <c r="O41" s="285"/>
      <c r="P41" s="285"/>
      <c r="Q41" s="285">
        <v>546.5</v>
      </c>
      <c r="R41" s="285"/>
      <c r="S41" s="285"/>
      <c r="T41" s="285"/>
      <c r="U41" s="148">
        <f t="shared" si="6"/>
        <v>546.5</v>
      </c>
      <c r="V41" s="285"/>
      <c r="W41" s="288"/>
      <c r="X41" s="286"/>
      <c r="Y41" s="286"/>
      <c r="Z41" s="271">
        <f t="shared" si="7"/>
        <v>546.5</v>
      </c>
      <c r="AA41" s="286"/>
    </row>
    <row r="42" spans="1:27" ht="18.75" customHeight="1" x14ac:dyDescent="0.25">
      <c r="A42" s="147" t="s">
        <v>644</v>
      </c>
      <c r="B42" s="281" t="s">
        <v>645</v>
      </c>
      <c r="C42" s="282">
        <v>18.399999999999999</v>
      </c>
      <c r="D42" s="150"/>
      <c r="E42" s="150"/>
      <c r="F42" s="150"/>
      <c r="G42" s="283">
        <v>17.2</v>
      </c>
      <c r="H42" s="283">
        <v>15</v>
      </c>
      <c r="I42" s="283"/>
      <c r="J42" s="283"/>
      <c r="K42" s="323"/>
      <c r="L42" s="283"/>
      <c r="M42" s="288">
        <v>0</v>
      </c>
      <c r="N42" s="287">
        <f t="shared" si="22"/>
        <v>0</v>
      </c>
      <c r="O42" s="285"/>
      <c r="P42" s="285"/>
      <c r="Q42" s="285">
        <v>18.5</v>
      </c>
      <c r="R42" s="285"/>
      <c r="S42" s="285"/>
      <c r="T42" s="285"/>
      <c r="U42" s="148">
        <f t="shared" si="6"/>
        <v>18.5</v>
      </c>
      <c r="V42" s="285"/>
      <c r="W42" s="288"/>
      <c r="X42" s="286"/>
      <c r="Y42" s="286"/>
      <c r="Z42" s="271">
        <f t="shared" si="7"/>
        <v>18.5</v>
      </c>
      <c r="AA42" s="286"/>
    </row>
    <row r="43" spans="1:27" ht="18.75" customHeight="1" x14ac:dyDescent="0.25">
      <c r="A43" s="147" t="s">
        <v>646</v>
      </c>
      <c r="B43" s="281" t="s">
        <v>647</v>
      </c>
      <c r="C43" s="282">
        <v>10293.6</v>
      </c>
      <c r="D43" s="150">
        <v>7593</v>
      </c>
      <c r="E43" s="150">
        <v>1563.8</v>
      </c>
      <c r="F43" s="150">
        <v>922.2</v>
      </c>
      <c r="G43" s="283">
        <v>10999.1</v>
      </c>
      <c r="H43" s="283">
        <v>10396.6</v>
      </c>
      <c r="I43" s="283"/>
      <c r="J43" s="283"/>
      <c r="K43" s="320" t="s">
        <v>648</v>
      </c>
      <c r="L43" s="283"/>
      <c r="M43" s="288">
        <f>10541.4-2774.7+17.6-52.7</f>
        <v>7731.6</v>
      </c>
      <c r="N43" s="287">
        <f t="shared" si="22"/>
        <v>-783.59999999999968</v>
      </c>
      <c r="O43" s="285">
        <f>62.8+77.5+1493.2</f>
        <v>1633.5</v>
      </c>
      <c r="P43" s="285"/>
      <c r="Q43" s="285"/>
      <c r="R43" s="285"/>
      <c r="S43" s="285">
        <v>214.6</v>
      </c>
      <c r="T43" s="285"/>
      <c r="U43" s="148">
        <f t="shared" si="6"/>
        <v>214.6</v>
      </c>
      <c r="V43" s="285"/>
      <c r="W43" s="288"/>
      <c r="X43" s="286"/>
      <c r="Y43" s="286"/>
      <c r="Z43" s="271">
        <f t="shared" si="7"/>
        <v>9579.7000000000007</v>
      </c>
      <c r="AA43" s="286"/>
    </row>
    <row r="44" spans="1:27" ht="18.75" customHeight="1" x14ac:dyDescent="0.25">
      <c r="A44" s="147" t="s">
        <v>649</v>
      </c>
      <c r="B44" s="281" t="s">
        <v>650</v>
      </c>
      <c r="C44" s="282">
        <v>541.29999999999995</v>
      </c>
      <c r="D44" s="150">
        <v>475.9</v>
      </c>
      <c r="E44" s="150">
        <v>22</v>
      </c>
      <c r="F44" s="150">
        <v>43.4</v>
      </c>
      <c r="G44" s="283">
        <v>591.6</v>
      </c>
      <c r="H44" s="283">
        <v>589.4</v>
      </c>
      <c r="I44" s="283"/>
      <c r="J44" s="283"/>
      <c r="K44" s="320" t="s">
        <v>651</v>
      </c>
      <c r="L44" s="283"/>
      <c r="M44" s="288">
        <f>676.8-163+1.3</f>
        <v>515.09999999999991</v>
      </c>
      <c r="N44" s="287">
        <f t="shared" si="22"/>
        <v>-4.2000000000000668</v>
      </c>
      <c r="O44" s="285">
        <v>10</v>
      </c>
      <c r="P44" s="285"/>
      <c r="Q44" s="285"/>
      <c r="R44" s="285"/>
      <c r="S44" s="285"/>
      <c r="T44" s="285"/>
      <c r="U44" s="148">
        <f t="shared" si="6"/>
        <v>0</v>
      </c>
      <c r="V44" s="285"/>
      <c r="W44" s="288"/>
      <c r="X44" s="286"/>
      <c r="Y44" s="286"/>
      <c r="Z44" s="271">
        <f t="shared" si="7"/>
        <v>525.09999999999991</v>
      </c>
      <c r="AA44" s="286"/>
    </row>
    <row r="45" spans="1:27" ht="18.75" customHeight="1" x14ac:dyDescent="0.25">
      <c r="A45" s="147" t="s">
        <v>652</v>
      </c>
      <c r="B45" s="281" t="s">
        <v>653</v>
      </c>
      <c r="C45" s="282">
        <v>390</v>
      </c>
      <c r="D45" s="150"/>
      <c r="E45" s="150"/>
      <c r="F45" s="150"/>
      <c r="G45" s="283">
        <v>390</v>
      </c>
      <c r="H45" s="283">
        <v>384.2</v>
      </c>
      <c r="I45" s="283"/>
      <c r="J45" s="283"/>
      <c r="K45" s="323"/>
      <c r="L45" s="283"/>
      <c r="M45" s="288">
        <v>0</v>
      </c>
      <c r="N45" s="287">
        <f t="shared" si="22"/>
        <v>0</v>
      </c>
      <c r="O45" s="285"/>
      <c r="P45" s="285"/>
      <c r="Q45" s="285"/>
      <c r="R45" s="285"/>
      <c r="S45" s="285">
        <v>390</v>
      </c>
      <c r="T45" s="285"/>
      <c r="U45" s="148">
        <f t="shared" si="6"/>
        <v>390</v>
      </c>
      <c r="V45" s="285"/>
      <c r="W45" s="288"/>
      <c r="X45" s="286"/>
      <c r="Y45" s="286"/>
      <c r="Z45" s="271">
        <f t="shared" si="7"/>
        <v>390</v>
      </c>
      <c r="AA45" s="286"/>
    </row>
    <row r="46" spans="1:27" ht="18.75" customHeight="1" x14ac:dyDescent="0.25">
      <c r="A46" s="147" t="s">
        <v>654</v>
      </c>
      <c r="B46" s="281" t="s">
        <v>655</v>
      </c>
      <c r="C46" s="282">
        <v>821.6</v>
      </c>
      <c r="D46" s="150">
        <v>749.3</v>
      </c>
      <c r="E46" s="150"/>
      <c r="F46" s="150">
        <v>72.3</v>
      </c>
      <c r="G46" s="283">
        <v>905</v>
      </c>
      <c r="H46" s="283">
        <v>903.3</v>
      </c>
      <c r="I46" s="283"/>
      <c r="J46" s="283"/>
      <c r="K46" s="320" t="s">
        <v>656</v>
      </c>
      <c r="L46" s="283"/>
      <c r="M46" s="288">
        <f>1002.6-164.1+21.9</f>
        <v>860.4</v>
      </c>
      <c r="N46" s="287">
        <f t="shared" si="22"/>
        <v>38.800000000000026</v>
      </c>
      <c r="O46" s="285"/>
      <c r="P46" s="285"/>
      <c r="Q46" s="285"/>
      <c r="R46" s="285"/>
      <c r="S46" s="285"/>
      <c r="T46" s="285"/>
      <c r="U46" s="148">
        <f t="shared" si="6"/>
        <v>0</v>
      </c>
      <c r="V46" s="285"/>
      <c r="W46" s="288"/>
      <c r="X46" s="286"/>
      <c r="Y46" s="286"/>
      <c r="Z46" s="271">
        <f t="shared" si="7"/>
        <v>860.4</v>
      </c>
      <c r="AA46" s="286"/>
    </row>
    <row r="47" spans="1:27" ht="18.75" customHeight="1" x14ac:dyDescent="0.25">
      <c r="A47" s="147" t="s">
        <v>657</v>
      </c>
      <c r="B47" s="281" t="s">
        <v>658</v>
      </c>
      <c r="C47" s="282">
        <v>42.6</v>
      </c>
      <c r="D47" s="150">
        <v>38.1</v>
      </c>
      <c r="E47" s="150"/>
      <c r="F47" s="150">
        <v>4.5</v>
      </c>
      <c r="G47" s="283">
        <v>50.5</v>
      </c>
      <c r="H47" s="283">
        <v>50.2</v>
      </c>
      <c r="I47" s="283"/>
      <c r="J47" s="283"/>
      <c r="K47" s="320" t="s">
        <v>659</v>
      </c>
      <c r="L47" s="283"/>
      <c r="M47" s="288">
        <f>92.3-18.1</f>
        <v>74.199999999999989</v>
      </c>
      <c r="N47" s="287">
        <f t="shared" si="22"/>
        <v>31.599999999999987</v>
      </c>
      <c r="O47" s="285"/>
      <c r="P47" s="285"/>
      <c r="Q47" s="285"/>
      <c r="R47" s="285"/>
      <c r="S47" s="285"/>
      <c r="T47" s="285"/>
      <c r="U47" s="148">
        <f t="shared" si="6"/>
        <v>0</v>
      </c>
      <c r="V47" s="285"/>
      <c r="W47" s="288"/>
      <c r="X47" s="286"/>
      <c r="Y47" s="286"/>
      <c r="Z47" s="271">
        <f t="shared" si="7"/>
        <v>74.199999999999989</v>
      </c>
      <c r="AA47" s="286"/>
    </row>
    <row r="48" spans="1:27" ht="18.75" customHeight="1" x14ac:dyDescent="0.25">
      <c r="A48" s="147" t="s">
        <v>660</v>
      </c>
      <c r="B48" s="281" t="s">
        <v>661</v>
      </c>
      <c r="C48" s="282">
        <v>1512.8</v>
      </c>
      <c r="D48" s="150">
        <v>1205</v>
      </c>
      <c r="E48" s="150">
        <v>26.3</v>
      </c>
      <c r="F48" s="150">
        <v>126.4</v>
      </c>
      <c r="G48" s="283">
        <v>1756</v>
      </c>
      <c r="H48" s="283">
        <v>1753.7</v>
      </c>
      <c r="I48" s="283"/>
      <c r="J48" s="283"/>
      <c r="K48" s="320" t="s">
        <v>662</v>
      </c>
      <c r="L48" s="283"/>
      <c r="M48" s="288">
        <f>1658.4-273+30.4+6.8</f>
        <v>1422.6000000000001</v>
      </c>
      <c r="N48" s="287">
        <f t="shared" si="22"/>
        <v>91.200000000000131</v>
      </c>
      <c r="O48" s="285">
        <v>31.7</v>
      </c>
      <c r="P48" s="285"/>
      <c r="Q48" s="285">
        <f>171.7+8</f>
        <v>179.7</v>
      </c>
      <c r="R48" s="285"/>
      <c r="S48" s="285"/>
      <c r="T48" s="285"/>
      <c r="U48" s="148">
        <f t="shared" si="6"/>
        <v>179.7</v>
      </c>
      <c r="V48" s="285"/>
      <c r="W48" s="288"/>
      <c r="X48" s="286"/>
      <c r="Y48" s="286"/>
      <c r="Z48" s="271">
        <f t="shared" si="7"/>
        <v>1634.0000000000002</v>
      </c>
      <c r="AA48" s="286"/>
    </row>
    <row r="49" spans="1:27" ht="18.75" customHeight="1" x14ac:dyDescent="0.25">
      <c r="A49" s="147" t="s">
        <v>663</v>
      </c>
      <c r="B49" s="281" t="s">
        <v>664</v>
      </c>
      <c r="C49" s="282">
        <v>315.10000000000002</v>
      </c>
      <c r="D49" s="150">
        <v>163.1</v>
      </c>
      <c r="E49" s="150">
        <v>78.2</v>
      </c>
      <c r="F49" s="150">
        <v>73.8</v>
      </c>
      <c r="G49" s="283">
        <v>333.5</v>
      </c>
      <c r="H49" s="283">
        <v>309.5</v>
      </c>
      <c r="I49" s="283"/>
      <c r="J49" s="283"/>
      <c r="K49" s="320" t="s">
        <v>665</v>
      </c>
      <c r="L49" s="283"/>
      <c r="M49" s="288">
        <f>233.8-38.3</f>
        <v>195.5</v>
      </c>
      <c r="N49" s="287">
        <f t="shared" si="22"/>
        <v>-41.399999999999991</v>
      </c>
      <c r="O49" s="285">
        <f>7+2+72.9</f>
        <v>81.900000000000006</v>
      </c>
      <c r="P49" s="285"/>
      <c r="Q49" s="285"/>
      <c r="R49" s="285"/>
      <c r="S49" s="285"/>
      <c r="T49" s="285"/>
      <c r="U49" s="148">
        <f t="shared" si="6"/>
        <v>0</v>
      </c>
      <c r="V49" s="285"/>
      <c r="W49" s="288"/>
      <c r="X49" s="286"/>
      <c r="Y49" s="286"/>
      <c r="Z49" s="271">
        <f t="shared" si="7"/>
        <v>277.39999999999998</v>
      </c>
      <c r="AA49" s="286"/>
    </row>
    <row r="50" spans="1:27" ht="18.75" customHeight="1" x14ac:dyDescent="0.25">
      <c r="A50" s="147" t="s">
        <v>666</v>
      </c>
      <c r="B50" s="281" t="s">
        <v>667</v>
      </c>
      <c r="C50" s="282">
        <v>188.6</v>
      </c>
      <c r="D50" s="150">
        <v>172.4</v>
      </c>
      <c r="E50" s="150"/>
      <c r="F50" s="150">
        <v>16.2</v>
      </c>
      <c r="G50" s="283">
        <v>204.3</v>
      </c>
      <c r="H50" s="283">
        <v>203.3</v>
      </c>
      <c r="I50" s="283"/>
      <c r="J50" s="283"/>
      <c r="K50" s="320" t="s">
        <v>668</v>
      </c>
      <c r="L50" s="283"/>
      <c r="M50" s="288">
        <f>228-37</f>
        <v>191</v>
      </c>
      <c r="N50" s="287">
        <f t="shared" si="22"/>
        <v>2.399999999999995</v>
      </c>
      <c r="O50" s="285"/>
      <c r="P50" s="285"/>
      <c r="Q50" s="285"/>
      <c r="R50" s="285"/>
      <c r="S50" s="285"/>
      <c r="T50" s="285"/>
      <c r="U50" s="148">
        <f t="shared" si="6"/>
        <v>0</v>
      </c>
      <c r="V50" s="285"/>
      <c r="W50" s="288"/>
      <c r="X50" s="286"/>
      <c r="Y50" s="286"/>
      <c r="Z50" s="271">
        <f t="shared" si="7"/>
        <v>191</v>
      </c>
      <c r="AA50" s="286"/>
    </row>
    <row r="51" spans="1:27" ht="18.75" customHeight="1" x14ac:dyDescent="0.25">
      <c r="A51" s="147" t="s">
        <v>669</v>
      </c>
      <c r="B51" s="281" t="s">
        <v>670</v>
      </c>
      <c r="C51" s="282">
        <v>89.8</v>
      </c>
      <c r="D51" s="150">
        <v>81.7</v>
      </c>
      <c r="E51" s="150"/>
      <c r="F51" s="150">
        <v>8.1</v>
      </c>
      <c r="G51" s="283">
        <v>99</v>
      </c>
      <c r="H51" s="283">
        <v>98.2</v>
      </c>
      <c r="I51" s="283"/>
      <c r="J51" s="283"/>
      <c r="K51" s="320" t="s">
        <v>671</v>
      </c>
      <c r="L51" s="283"/>
      <c r="M51" s="288">
        <f>117.1-30.2</f>
        <v>86.899999999999991</v>
      </c>
      <c r="N51" s="287">
        <f t="shared" si="22"/>
        <v>-2.900000000000011</v>
      </c>
      <c r="O51" s="285"/>
      <c r="P51" s="285"/>
      <c r="Q51" s="285"/>
      <c r="R51" s="285"/>
      <c r="S51" s="285"/>
      <c r="T51" s="285"/>
      <c r="U51" s="148">
        <f t="shared" si="6"/>
        <v>0</v>
      </c>
      <c r="V51" s="285"/>
      <c r="W51" s="288"/>
      <c r="X51" s="286"/>
      <c r="Y51" s="286"/>
      <c r="Z51" s="271">
        <f t="shared" si="7"/>
        <v>86.899999999999991</v>
      </c>
      <c r="AA51" s="286"/>
    </row>
    <row r="52" spans="1:27" ht="18.75" customHeight="1" x14ac:dyDescent="0.25">
      <c r="A52" s="147" t="s">
        <v>672</v>
      </c>
      <c r="B52" s="281" t="s">
        <v>673</v>
      </c>
      <c r="C52" s="282">
        <v>173.3</v>
      </c>
      <c r="D52" s="150">
        <v>28.6</v>
      </c>
      <c r="E52" s="150"/>
      <c r="F52" s="150">
        <v>22.3</v>
      </c>
      <c r="G52" s="283">
        <v>161.69999999999999</v>
      </c>
      <c r="H52" s="283">
        <v>146.30000000000001</v>
      </c>
      <c r="I52" s="283"/>
      <c r="J52" s="283"/>
      <c r="K52" s="156" t="s">
        <v>674</v>
      </c>
      <c r="L52" s="283"/>
      <c r="M52" s="288">
        <f>37.5-13.6</f>
        <v>23.9</v>
      </c>
      <c r="N52" s="287">
        <f t="shared" si="22"/>
        <v>-27.000000000000004</v>
      </c>
      <c r="O52" s="285"/>
      <c r="P52" s="285"/>
      <c r="Q52" s="285">
        <v>122.5</v>
      </c>
      <c r="R52" s="285"/>
      <c r="S52" s="285"/>
      <c r="T52" s="285"/>
      <c r="U52" s="148">
        <f t="shared" si="6"/>
        <v>122.5</v>
      </c>
      <c r="V52" s="285"/>
      <c r="W52" s="288"/>
      <c r="X52" s="286"/>
      <c r="Y52" s="286"/>
      <c r="Z52" s="271">
        <f t="shared" si="7"/>
        <v>146.4</v>
      </c>
      <c r="AA52" s="286"/>
    </row>
    <row r="53" spans="1:27" ht="18.75" customHeight="1" x14ac:dyDescent="0.25">
      <c r="A53" s="147" t="s">
        <v>675</v>
      </c>
      <c r="B53" s="281" t="s">
        <v>676</v>
      </c>
      <c r="C53" s="282">
        <v>582.20000000000005</v>
      </c>
      <c r="D53" s="150">
        <v>197.2</v>
      </c>
      <c r="E53" s="150">
        <v>20</v>
      </c>
      <c r="F53" s="150">
        <v>18.899999999999999</v>
      </c>
      <c r="G53" s="283">
        <v>548.6</v>
      </c>
      <c r="H53" s="283">
        <v>527.9</v>
      </c>
      <c r="I53" s="283"/>
      <c r="J53" s="283"/>
      <c r="K53" s="320" t="s">
        <v>677</v>
      </c>
      <c r="L53" s="283"/>
      <c r="M53" s="288">
        <f>254.4-35.3</f>
        <v>219.10000000000002</v>
      </c>
      <c r="N53" s="287">
        <f t="shared" si="22"/>
        <v>3.0000000000000355</v>
      </c>
      <c r="O53" s="285">
        <v>20</v>
      </c>
      <c r="P53" s="285"/>
      <c r="Q53" s="285">
        <v>392.6</v>
      </c>
      <c r="R53" s="285"/>
      <c r="S53" s="285"/>
      <c r="T53" s="285"/>
      <c r="U53" s="148">
        <f t="shared" si="6"/>
        <v>392.6</v>
      </c>
      <c r="V53" s="285"/>
      <c r="W53" s="288"/>
      <c r="X53" s="286"/>
      <c r="Y53" s="286"/>
      <c r="Z53" s="271">
        <f t="shared" si="7"/>
        <v>631.70000000000005</v>
      </c>
      <c r="AA53" s="286"/>
    </row>
    <row r="54" spans="1:27" ht="18.75" customHeight="1" x14ac:dyDescent="0.25">
      <c r="A54" s="147" t="s">
        <v>678</v>
      </c>
      <c r="B54" s="281" t="s">
        <v>679</v>
      </c>
      <c r="C54" s="282">
        <v>4395.1000000000004</v>
      </c>
      <c r="D54" s="150">
        <v>1006.3</v>
      </c>
      <c r="E54" s="150"/>
      <c r="F54" s="150">
        <v>95.8</v>
      </c>
      <c r="G54" s="283">
        <v>4522.1000000000004</v>
      </c>
      <c r="H54" s="283">
        <v>4419</v>
      </c>
      <c r="I54" s="283"/>
      <c r="J54" s="283"/>
      <c r="K54" s="320" t="s">
        <v>680</v>
      </c>
      <c r="L54" s="283"/>
      <c r="M54" s="288">
        <f>1880.1-302.7+26.4-22.3</f>
        <v>1581.5</v>
      </c>
      <c r="N54" s="287">
        <f t="shared" si="22"/>
        <v>479.40000000000003</v>
      </c>
      <c r="O54" s="285"/>
      <c r="P54" s="285"/>
      <c r="Q54" s="285">
        <v>3721</v>
      </c>
      <c r="R54" s="285"/>
      <c r="S54" s="285"/>
      <c r="T54" s="285"/>
      <c r="U54" s="148">
        <f t="shared" si="6"/>
        <v>3721</v>
      </c>
      <c r="V54" s="285"/>
      <c r="W54" s="288"/>
      <c r="X54" s="286"/>
      <c r="Y54" s="286"/>
      <c r="Z54" s="271">
        <f t="shared" si="7"/>
        <v>5302.5</v>
      </c>
      <c r="AA54" s="286"/>
    </row>
    <row r="55" spans="1:27" ht="18.75" customHeight="1" x14ac:dyDescent="0.25">
      <c r="A55" s="147" t="s">
        <v>681</v>
      </c>
      <c r="B55" s="281" t="s">
        <v>682</v>
      </c>
      <c r="C55" s="282">
        <v>188.5</v>
      </c>
      <c r="D55" s="150"/>
      <c r="E55" s="150"/>
      <c r="F55" s="150"/>
      <c r="G55" s="283">
        <v>173.8</v>
      </c>
      <c r="H55" s="283">
        <v>173.8</v>
      </c>
      <c r="I55" s="283"/>
      <c r="J55" s="283"/>
      <c r="K55" s="323"/>
      <c r="L55" s="283"/>
      <c r="M55" s="288">
        <v>0</v>
      </c>
      <c r="N55" s="287">
        <f t="shared" si="22"/>
        <v>0</v>
      </c>
      <c r="O55" s="285"/>
      <c r="P55" s="285"/>
      <c r="Q55" s="285">
        <v>207.2</v>
      </c>
      <c r="R55" s="285"/>
      <c r="S55" s="285"/>
      <c r="T55" s="285"/>
      <c r="U55" s="148">
        <f t="shared" si="6"/>
        <v>207.2</v>
      </c>
      <c r="V55" s="285"/>
      <c r="W55" s="288"/>
      <c r="X55" s="286"/>
      <c r="Y55" s="286"/>
      <c r="Z55" s="271">
        <f t="shared" si="7"/>
        <v>207.2</v>
      </c>
      <c r="AA55" s="286"/>
    </row>
    <row r="56" spans="1:27" ht="18.75" hidden="1" customHeight="1" x14ac:dyDescent="0.25">
      <c r="A56" s="147" t="s">
        <v>683</v>
      </c>
      <c r="B56" s="281" t="s">
        <v>684</v>
      </c>
      <c r="C56" s="282">
        <v>0</v>
      </c>
      <c r="D56" s="150"/>
      <c r="E56" s="150"/>
      <c r="F56" s="150"/>
      <c r="G56" s="283"/>
      <c r="H56" s="283"/>
      <c r="I56" s="283"/>
      <c r="J56" s="283"/>
      <c r="K56" s="323"/>
      <c r="L56" s="283"/>
      <c r="M56" s="288"/>
      <c r="N56" s="287">
        <f t="shared" si="22"/>
        <v>0</v>
      </c>
      <c r="O56" s="285"/>
      <c r="P56" s="285"/>
      <c r="Q56" s="285"/>
      <c r="R56" s="285"/>
      <c r="S56" s="285"/>
      <c r="T56" s="285"/>
      <c r="U56" s="148">
        <f t="shared" si="6"/>
        <v>0</v>
      </c>
      <c r="V56" s="285"/>
      <c r="W56" s="288"/>
      <c r="X56" s="286"/>
      <c r="Y56" s="286"/>
      <c r="Z56" s="271">
        <f t="shared" si="7"/>
        <v>0</v>
      </c>
      <c r="AA56" s="286"/>
    </row>
    <row r="57" spans="1:27" ht="18.75" customHeight="1" x14ac:dyDescent="0.25">
      <c r="A57" s="147" t="s">
        <v>685</v>
      </c>
      <c r="B57" s="281" t="s">
        <v>686</v>
      </c>
      <c r="C57" s="282"/>
      <c r="D57" s="150"/>
      <c r="E57" s="150"/>
      <c r="F57" s="150"/>
      <c r="G57" s="283"/>
      <c r="H57" s="283"/>
      <c r="I57" s="283"/>
      <c r="J57" s="283"/>
      <c r="K57" s="323"/>
      <c r="L57" s="283"/>
      <c r="M57" s="288">
        <v>10</v>
      </c>
      <c r="N57" s="287">
        <f t="shared" si="22"/>
        <v>10</v>
      </c>
      <c r="O57" s="285"/>
      <c r="P57" s="285"/>
      <c r="Q57" s="285"/>
      <c r="R57" s="285"/>
      <c r="S57" s="285"/>
      <c r="T57" s="285"/>
      <c r="U57" s="148">
        <f t="shared" si="6"/>
        <v>0</v>
      </c>
      <c r="V57" s="285"/>
      <c r="W57" s="288"/>
      <c r="X57" s="286"/>
      <c r="Y57" s="286"/>
      <c r="Z57" s="271">
        <f t="shared" si="7"/>
        <v>10</v>
      </c>
      <c r="AA57" s="286"/>
    </row>
    <row r="58" spans="1:27" ht="18.75" customHeight="1" x14ac:dyDescent="0.25">
      <c r="A58" s="147" t="s">
        <v>687</v>
      </c>
      <c r="B58" s="281" t="s">
        <v>688</v>
      </c>
      <c r="C58" s="282"/>
      <c r="D58" s="150"/>
      <c r="E58" s="150"/>
      <c r="F58" s="150"/>
      <c r="G58" s="283">
        <v>181</v>
      </c>
      <c r="H58" s="283">
        <v>178.9</v>
      </c>
      <c r="I58" s="283"/>
      <c r="J58" s="283"/>
      <c r="K58" s="323"/>
      <c r="L58" s="283"/>
      <c r="M58" s="288">
        <v>0</v>
      </c>
      <c r="N58" s="287">
        <f t="shared" si="22"/>
        <v>0</v>
      </c>
      <c r="O58" s="285"/>
      <c r="P58" s="285"/>
      <c r="Q58" s="285"/>
      <c r="R58" s="285"/>
      <c r="S58" s="285">
        <f>32.5+25.8+19.8+106+27.5</f>
        <v>211.6</v>
      </c>
      <c r="T58" s="288"/>
      <c r="U58" s="148">
        <f t="shared" si="6"/>
        <v>211.6</v>
      </c>
      <c r="V58" s="285"/>
      <c r="W58" s="288"/>
      <c r="X58" s="286"/>
      <c r="Y58" s="286"/>
      <c r="Z58" s="271">
        <f t="shared" si="7"/>
        <v>211.6</v>
      </c>
      <c r="AA58" s="286"/>
    </row>
    <row r="59" spans="1:27" ht="18.75" customHeight="1" x14ac:dyDescent="0.25">
      <c r="A59" s="147" t="s">
        <v>689</v>
      </c>
      <c r="B59" s="281" t="s">
        <v>690</v>
      </c>
      <c r="C59" s="282">
        <v>2456.6</v>
      </c>
      <c r="D59" s="150"/>
      <c r="E59" s="150"/>
      <c r="F59" s="150"/>
      <c r="G59" s="283">
        <v>879.1</v>
      </c>
      <c r="H59" s="283">
        <v>853.4</v>
      </c>
      <c r="I59" s="283"/>
      <c r="J59" s="283"/>
      <c r="K59" s="74" t="s">
        <v>209</v>
      </c>
      <c r="L59" s="283"/>
      <c r="M59" s="288">
        <v>0</v>
      </c>
      <c r="N59" s="287">
        <f t="shared" si="22"/>
        <v>0</v>
      </c>
      <c r="O59" s="285"/>
      <c r="P59" s="285"/>
      <c r="Q59" s="285"/>
      <c r="R59" s="285"/>
      <c r="S59" s="285"/>
      <c r="T59" s="288">
        <f>2055+354.2+21.1+21.4+21.2+21.7+21.3</f>
        <v>2515.8999999999996</v>
      </c>
      <c r="U59" s="148">
        <f t="shared" si="6"/>
        <v>2515.8999999999996</v>
      </c>
      <c r="V59" s="285"/>
      <c r="W59" s="288"/>
      <c r="X59" s="286"/>
      <c r="Y59" s="286"/>
      <c r="Z59" s="271">
        <f t="shared" si="7"/>
        <v>2515.8999999999996</v>
      </c>
      <c r="AA59" s="286"/>
    </row>
    <row r="60" spans="1:27" ht="18.75" customHeight="1" x14ac:dyDescent="0.25">
      <c r="A60" s="147" t="s">
        <v>691</v>
      </c>
      <c r="B60" s="281" t="s">
        <v>692</v>
      </c>
      <c r="C60" s="282">
        <v>327.39999999999998</v>
      </c>
      <c r="D60" s="150"/>
      <c r="E60" s="150"/>
      <c r="F60" s="150">
        <v>30</v>
      </c>
      <c r="G60" s="283">
        <v>40.4</v>
      </c>
      <c r="H60" s="283">
        <v>21.4</v>
      </c>
      <c r="I60" s="283"/>
      <c r="J60" s="283"/>
      <c r="K60" s="74" t="s">
        <v>209</v>
      </c>
      <c r="L60" s="283"/>
      <c r="M60" s="288">
        <v>650</v>
      </c>
      <c r="N60" s="287">
        <f t="shared" si="22"/>
        <v>620</v>
      </c>
      <c r="O60" s="285"/>
      <c r="P60" s="285"/>
      <c r="Q60" s="285"/>
      <c r="R60" s="285"/>
      <c r="S60" s="285"/>
      <c r="T60" s="288">
        <v>650</v>
      </c>
      <c r="U60" s="148">
        <f t="shared" si="6"/>
        <v>650</v>
      </c>
      <c r="V60" s="285"/>
      <c r="W60" s="288"/>
      <c r="X60" s="286"/>
      <c r="Y60" s="286"/>
      <c r="Z60" s="271">
        <f t="shared" si="7"/>
        <v>1300</v>
      </c>
      <c r="AA60" s="286"/>
    </row>
    <row r="61" spans="1:27" ht="18.75" customHeight="1" x14ac:dyDescent="0.25">
      <c r="A61" s="147" t="s">
        <v>693</v>
      </c>
      <c r="B61" s="281" t="s">
        <v>694</v>
      </c>
      <c r="C61" s="282"/>
      <c r="D61" s="150"/>
      <c r="E61" s="150"/>
      <c r="F61" s="150"/>
      <c r="G61" s="283"/>
      <c r="H61" s="283"/>
      <c r="I61" s="283"/>
      <c r="J61" s="283"/>
      <c r="K61" s="74" t="s">
        <v>209</v>
      </c>
      <c r="L61" s="283"/>
      <c r="M61" s="288">
        <v>0</v>
      </c>
      <c r="N61" s="287">
        <f t="shared" si="22"/>
        <v>0</v>
      </c>
      <c r="O61" s="285"/>
      <c r="P61" s="285"/>
      <c r="Q61" s="285"/>
      <c r="R61" s="285"/>
      <c r="S61" s="285"/>
      <c r="T61" s="288">
        <f>1338+27.2</f>
        <v>1365.2</v>
      </c>
      <c r="U61" s="148">
        <f t="shared" si="6"/>
        <v>1365.2</v>
      </c>
      <c r="V61" s="285"/>
      <c r="W61" s="288"/>
      <c r="X61" s="286"/>
      <c r="Y61" s="286"/>
      <c r="Z61" s="271">
        <f t="shared" si="7"/>
        <v>1365.2</v>
      </c>
      <c r="AA61" s="286"/>
    </row>
    <row r="62" spans="1:27" ht="18.75" customHeight="1" x14ac:dyDescent="0.25">
      <c r="A62" s="147" t="s">
        <v>695</v>
      </c>
      <c r="B62" s="281" t="s">
        <v>696</v>
      </c>
      <c r="C62" s="282"/>
      <c r="D62" s="150"/>
      <c r="E62" s="150"/>
      <c r="F62" s="150"/>
      <c r="G62" s="283"/>
      <c r="H62" s="283"/>
      <c r="I62" s="283"/>
      <c r="J62" s="283"/>
      <c r="K62" s="74" t="s">
        <v>209</v>
      </c>
      <c r="L62" s="283"/>
      <c r="M62" s="288">
        <v>0</v>
      </c>
      <c r="N62" s="287">
        <f t="shared" si="22"/>
        <v>0</v>
      </c>
      <c r="O62" s="285"/>
      <c r="P62" s="285"/>
      <c r="Q62" s="285"/>
      <c r="R62" s="285"/>
      <c r="S62" s="285"/>
      <c r="T62" s="288">
        <v>200</v>
      </c>
      <c r="U62" s="148">
        <f t="shared" si="6"/>
        <v>200</v>
      </c>
      <c r="V62" s="285"/>
      <c r="W62" s="288"/>
      <c r="X62" s="286"/>
      <c r="Y62" s="286"/>
      <c r="Z62" s="271">
        <f t="shared" si="7"/>
        <v>200</v>
      </c>
      <c r="AA62" s="286"/>
    </row>
    <row r="63" spans="1:27" ht="18.75" customHeight="1" x14ac:dyDescent="0.25">
      <c r="A63" s="147" t="s">
        <v>697</v>
      </c>
      <c r="B63" s="281" t="s">
        <v>698</v>
      </c>
      <c r="C63" s="282"/>
      <c r="D63" s="150"/>
      <c r="E63" s="150"/>
      <c r="F63" s="150"/>
      <c r="G63" s="283"/>
      <c r="H63" s="283"/>
      <c r="I63" s="283"/>
      <c r="J63" s="283"/>
      <c r="K63" s="74" t="s">
        <v>209</v>
      </c>
      <c r="L63" s="283"/>
      <c r="M63" s="288">
        <v>0</v>
      </c>
      <c r="N63" s="287">
        <f t="shared" si="22"/>
        <v>0</v>
      </c>
      <c r="O63" s="285"/>
      <c r="P63" s="285"/>
      <c r="Q63" s="285"/>
      <c r="R63" s="285"/>
      <c r="S63" s="285"/>
      <c r="T63" s="288">
        <f>346.6+8.7</f>
        <v>355.3</v>
      </c>
      <c r="U63" s="148">
        <f t="shared" si="6"/>
        <v>355.3</v>
      </c>
      <c r="V63" s="285"/>
      <c r="W63" s="288"/>
      <c r="X63" s="286"/>
      <c r="Y63" s="286"/>
      <c r="Z63" s="271">
        <f t="shared" si="7"/>
        <v>355.3</v>
      </c>
      <c r="AA63" s="286"/>
    </row>
    <row r="64" spans="1:27" ht="18.75" customHeight="1" x14ac:dyDescent="0.25">
      <c r="A64" s="147" t="s">
        <v>699</v>
      </c>
      <c r="B64" s="281" t="s">
        <v>700</v>
      </c>
      <c r="C64" s="282"/>
      <c r="D64" s="150"/>
      <c r="E64" s="150"/>
      <c r="F64" s="150"/>
      <c r="G64" s="283"/>
      <c r="H64" s="283"/>
      <c r="I64" s="283"/>
      <c r="J64" s="283"/>
      <c r="K64" s="74" t="s">
        <v>209</v>
      </c>
      <c r="L64" s="283"/>
      <c r="M64" s="288">
        <v>0</v>
      </c>
      <c r="N64" s="287">
        <f t="shared" si="22"/>
        <v>0</v>
      </c>
      <c r="O64" s="285"/>
      <c r="P64" s="285"/>
      <c r="Q64" s="285"/>
      <c r="R64" s="285"/>
      <c r="S64" s="285"/>
      <c r="T64" s="288">
        <v>269.7</v>
      </c>
      <c r="U64" s="148">
        <f t="shared" si="6"/>
        <v>269.7</v>
      </c>
      <c r="V64" s="285"/>
      <c r="W64" s="288">
        <v>30.3</v>
      </c>
      <c r="X64" s="286"/>
      <c r="Y64" s="286"/>
      <c r="Z64" s="271">
        <f t="shared" si="7"/>
        <v>300</v>
      </c>
      <c r="AA64" s="286"/>
    </row>
    <row r="65" spans="1:27" s="275" customFormat="1" ht="18.75" customHeight="1" x14ac:dyDescent="0.25">
      <c r="A65" s="152" t="s">
        <v>701</v>
      </c>
      <c r="B65" s="290" t="s">
        <v>702</v>
      </c>
      <c r="C65" s="292">
        <f>C66+C67+C68+C70+C71+C72+C73+C69</f>
        <v>271.59999999999997</v>
      </c>
      <c r="D65" s="292">
        <f t="shared" ref="D65:F65" si="23">D66+D67+D68+D70+D71+D72+D73+D69</f>
        <v>179.7</v>
      </c>
      <c r="E65" s="292">
        <f t="shared" si="23"/>
        <v>0</v>
      </c>
      <c r="F65" s="292">
        <f t="shared" si="23"/>
        <v>35</v>
      </c>
      <c r="G65" s="292">
        <f>G66+G67+G68+G70+G71+G72+G73+G69</f>
        <v>285.40000000000003</v>
      </c>
      <c r="H65" s="292">
        <f t="shared" ref="H65" si="24">H66+H67+H68+H70+H71+H72+H73+H69</f>
        <v>276.5</v>
      </c>
      <c r="I65" s="291">
        <f t="shared" ref="I65:AA65" si="25">I66+I67+I68+I70+I71+I72+I73+I74</f>
        <v>0</v>
      </c>
      <c r="J65" s="291">
        <f t="shared" si="25"/>
        <v>0</v>
      </c>
      <c r="K65" s="291"/>
      <c r="L65" s="291">
        <f t="shared" si="25"/>
        <v>0</v>
      </c>
      <c r="M65" s="292">
        <f>M66+M67+M68+M70+M71+M72+M73+M74+M69</f>
        <v>240.89999999999998</v>
      </c>
      <c r="N65" s="293">
        <f>N66+N67+N68+N70+N71+N72+N73+N74+N69</f>
        <v>26.199999999999992</v>
      </c>
      <c r="O65" s="292">
        <f t="shared" ref="O65:T65" si="26">O66+O67+O68+O70+O71+O72+O73+O74+O69</f>
        <v>0</v>
      </c>
      <c r="P65" s="292">
        <f t="shared" si="26"/>
        <v>0</v>
      </c>
      <c r="Q65" s="292">
        <f t="shared" si="26"/>
        <v>0</v>
      </c>
      <c r="R65" s="292">
        <f t="shared" si="26"/>
        <v>22.5</v>
      </c>
      <c r="S65" s="292">
        <f t="shared" si="26"/>
        <v>35</v>
      </c>
      <c r="T65" s="292">
        <f t="shared" si="26"/>
        <v>0</v>
      </c>
      <c r="U65" s="292">
        <f>U66+U67+U68+U70+U71+U72+U73+U74+U69</f>
        <v>57.5</v>
      </c>
      <c r="V65" s="292">
        <f t="shared" ref="V65" si="27">V66+V67+V68+V70+V71+V72+V73+V74+V69</f>
        <v>0</v>
      </c>
      <c r="W65" s="292">
        <f>W66+W67+W68+W70+W71+W72+W73+W74+W69</f>
        <v>0</v>
      </c>
      <c r="X65" s="292">
        <f t="shared" si="25"/>
        <v>0</v>
      </c>
      <c r="Y65" s="292">
        <f t="shared" si="25"/>
        <v>0</v>
      </c>
      <c r="Z65" s="328">
        <f t="shared" si="7"/>
        <v>298.39999999999998</v>
      </c>
      <c r="AA65" s="292">
        <f t="shared" si="25"/>
        <v>0</v>
      </c>
    </row>
    <row r="66" spans="1:27" ht="18.75" customHeight="1" x14ac:dyDescent="0.25">
      <c r="A66" s="147" t="s">
        <v>703</v>
      </c>
      <c r="B66" s="281" t="s">
        <v>704</v>
      </c>
      <c r="C66" s="282">
        <v>75</v>
      </c>
      <c r="D66" s="150">
        <v>65</v>
      </c>
      <c r="E66" s="150"/>
      <c r="F66" s="150">
        <v>10</v>
      </c>
      <c r="G66" s="283">
        <v>84.6</v>
      </c>
      <c r="H66" s="283">
        <v>79.8</v>
      </c>
      <c r="I66" s="283"/>
      <c r="J66" s="283"/>
      <c r="K66" s="320" t="s">
        <v>705</v>
      </c>
      <c r="L66" s="321"/>
      <c r="M66" s="322">
        <f>332.2-231.5</f>
        <v>100.69999999999999</v>
      </c>
      <c r="N66" s="287">
        <f t="shared" si="22"/>
        <v>25.699999999999989</v>
      </c>
      <c r="O66" s="285"/>
      <c r="P66" s="285"/>
      <c r="Q66" s="285"/>
      <c r="R66" s="285"/>
      <c r="S66" s="285"/>
      <c r="T66" s="285"/>
      <c r="U66" s="148">
        <f t="shared" si="6"/>
        <v>0</v>
      </c>
      <c r="V66" s="285"/>
      <c r="W66" s="288"/>
      <c r="X66" s="286"/>
      <c r="Y66" s="286"/>
      <c r="Z66" s="271">
        <f t="shared" si="7"/>
        <v>100.69999999999999</v>
      </c>
      <c r="AA66" s="286"/>
    </row>
    <row r="67" spans="1:27" ht="18.75" customHeight="1" x14ac:dyDescent="0.25">
      <c r="A67" s="147" t="s">
        <v>706</v>
      </c>
      <c r="B67" s="281" t="s">
        <v>707</v>
      </c>
      <c r="C67" s="282">
        <v>53.2</v>
      </c>
      <c r="D67" s="150">
        <v>28.2</v>
      </c>
      <c r="E67" s="150"/>
      <c r="F67" s="150">
        <v>25</v>
      </c>
      <c r="G67" s="283">
        <v>53.2</v>
      </c>
      <c r="H67" s="283">
        <v>51</v>
      </c>
      <c r="I67" s="283"/>
      <c r="J67" s="283"/>
      <c r="K67" s="320" t="s">
        <v>708</v>
      </c>
      <c r="L67" s="321"/>
      <c r="M67" s="322">
        <v>27.200000000000003</v>
      </c>
      <c r="N67" s="287">
        <f t="shared" si="22"/>
        <v>-25.999999999999996</v>
      </c>
      <c r="O67" s="285"/>
      <c r="P67" s="285"/>
      <c r="Q67" s="285"/>
      <c r="R67" s="285"/>
      <c r="S67" s="285"/>
      <c r="T67" s="285"/>
      <c r="U67" s="148">
        <f t="shared" si="6"/>
        <v>0</v>
      </c>
      <c r="V67" s="285"/>
      <c r="W67" s="288"/>
      <c r="X67" s="286"/>
      <c r="Y67" s="286"/>
      <c r="Z67" s="271">
        <f t="shared" si="7"/>
        <v>27.200000000000003</v>
      </c>
      <c r="AA67" s="286"/>
    </row>
    <row r="68" spans="1:27" ht="18.75" customHeight="1" x14ac:dyDescent="0.25">
      <c r="A68" s="147" t="s">
        <v>709</v>
      </c>
      <c r="B68" s="281" t="s">
        <v>710</v>
      </c>
      <c r="C68" s="282">
        <v>22.5</v>
      </c>
      <c r="D68" s="150"/>
      <c r="E68" s="150"/>
      <c r="F68" s="150"/>
      <c r="G68" s="283">
        <v>27.5</v>
      </c>
      <c r="H68" s="283">
        <v>26.7</v>
      </c>
      <c r="I68" s="283"/>
      <c r="J68" s="283"/>
      <c r="K68" s="323"/>
      <c r="L68" s="321"/>
      <c r="M68" s="322">
        <v>0</v>
      </c>
      <c r="N68" s="287">
        <f t="shared" si="22"/>
        <v>0</v>
      </c>
      <c r="O68" s="285"/>
      <c r="P68" s="285"/>
      <c r="Q68" s="285"/>
      <c r="R68" s="285">
        <v>22.5</v>
      </c>
      <c r="S68" s="285"/>
      <c r="T68" s="285"/>
      <c r="U68" s="148">
        <f t="shared" si="6"/>
        <v>22.5</v>
      </c>
      <c r="V68" s="285"/>
      <c r="W68" s="288"/>
      <c r="X68" s="286"/>
      <c r="Y68" s="286"/>
      <c r="Z68" s="271">
        <f t="shared" si="7"/>
        <v>22.5</v>
      </c>
      <c r="AA68" s="286"/>
    </row>
    <row r="69" spans="1:27" ht="18.75" customHeight="1" x14ac:dyDescent="0.25">
      <c r="A69" s="147" t="s">
        <v>711</v>
      </c>
      <c r="B69" s="281" t="s">
        <v>712</v>
      </c>
      <c r="C69" s="282">
        <v>6</v>
      </c>
      <c r="D69" s="150">
        <v>6</v>
      </c>
      <c r="E69" s="150"/>
      <c r="F69" s="150"/>
      <c r="G69" s="283">
        <v>6</v>
      </c>
      <c r="H69" s="283">
        <v>6</v>
      </c>
      <c r="I69" s="283"/>
      <c r="J69" s="283"/>
      <c r="K69" s="320" t="s">
        <v>713</v>
      </c>
      <c r="L69" s="321"/>
      <c r="M69" s="322">
        <v>6</v>
      </c>
      <c r="N69" s="287">
        <f t="shared" si="22"/>
        <v>0</v>
      </c>
      <c r="O69" s="285"/>
      <c r="P69" s="285"/>
      <c r="Q69" s="285"/>
      <c r="R69" s="285"/>
      <c r="S69" s="285"/>
      <c r="T69" s="285"/>
      <c r="U69" s="148">
        <f t="shared" si="6"/>
        <v>0</v>
      </c>
      <c r="V69" s="285"/>
      <c r="W69" s="288"/>
      <c r="X69" s="286"/>
      <c r="Y69" s="286"/>
      <c r="Z69" s="271">
        <f t="shared" si="7"/>
        <v>6</v>
      </c>
      <c r="AA69" s="286"/>
    </row>
    <row r="70" spans="1:27" ht="18.75" customHeight="1" x14ac:dyDescent="0.25">
      <c r="A70" s="147" t="s">
        <v>714</v>
      </c>
      <c r="B70" s="281" t="s">
        <v>715</v>
      </c>
      <c r="C70" s="282">
        <v>80</v>
      </c>
      <c r="D70" s="150">
        <v>80</v>
      </c>
      <c r="E70" s="150"/>
      <c r="F70" s="150"/>
      <c r="G70" s="283">
        <v>80</v>
      </c>
      <c r="H70" s="283">
        <v>79</v>
      </c>
      <c r="I70" s="283"/>
      <c r="J70" s="283"/>
      <c r="K70" s="320" t="s">
        <v>716</v>
      </c>
      <c r="L70" s="321"/>
      <c r="M70" s="322">
        <v>80</v>
      </c>
      <c r="N70" s="287">
        <f t="shared" si="22"/>
        <v>0</v>
      </c>
      <c r="O70" s="285"/>
      <c r="P70" s="285"/>
      <c r="Q70" s="285"/>
      <c r="R70" s="285"/>
      <c r="S70" s="285"/>
      <c r="T70" s="285"/>
      <c r="U70" s="148">
        <f t="shared" si="6"/>
        <v>0</v>
      </c>
      <c r="V70" s="285"/>
      <c r="W70" s="288"/>
      <c r="X70" s="286"/>
      <c r="Y70" s="286"/>
      <c r="Z70" s="271">
        <f t="shared" si="7"/>
        <v>80</v>
      </c>
      <c r="AA70" s="286"/>
    </row>
    <row r="71" spans="1:27" ht="18.75" customHeight="1" x14ac:dyDescent="0.25">
      <c r="A71" s="147" t="s">
        <v>717</v>
      </c>
      <c r="B71" s="281" t="s">
        <v>718</v>
      </c>
      <c r="C71" s="282">
        <v>0.5</v>
      </c>
      <c r="D71" s="150">
        <v>0.5</v>
      </c>
      <c r="E71" s="150"/>
      <c r="F71" s="150"/>
      <c r="G71" s="283"/>
      <c r="H71" s="283"/>
      <c r="I71" s="283"/>
      <c r="J71" s="283"/>
      <c r="K71" s="320" t="s">
        <v>719</v>
      </c>
      <c r="L71" s="321"/>
      <c r="M71" s="322">
        <v>15</v>
      </c>
      <c r="N71" s="287">
        <f t="shared" si="22"/>
        <v>14.5</v>
      </c>
      <c r="O71" s="285"/>
      <c r="P71" s="285"/>
      <c r="Q71" s="285"/>
      <c r="R71" s="285"/>
      <c r="S71" s="285"/>
      <c r="T71" s="285"/>
      <c r="U71" s="148">
        <f t="shared" si="6"/>
        <v>0</v>
      </c>
      <c r="V71" s="285"/>
      <c r="W71" s="288"/>
      <c r="X71" s="286"/>
      <c r="Y71" s="286"/>
      <c r="Z71" s="271">
        <f t="shared" si="7"/>
        <v>15</v>
      </c>
      <c r="AA71" s="286"/>
    </row>
    <row r="72" spans="1:27" ht="18.75" customHeight="1" x14ac:dyDescent="0.25">
      <c r="A72" s="147" t="s">
        <v>720</v>
      </c>
      <c r="B72" s="281" t="s">
        <v>721</v>
      </c>
      <c r="C72" s="282"/>
      <c r="D72" s="150"/>
      <c r="E72" s="150"/>
      <c r="F72" s="150"/>
      <c r="G72" s="283"/>
      <c r="H72" s="283"/>
      <c r="I72" s="283"/>
      <c r="J72" s="283"/>
      <c r="K72" s="320" t="s">
        <v>722</v>
      </c>
      <c r="L72" s="321"/>
      <c r="M72" s="322">
        <f>7+5</f>
        <v>12</v>
      </c>
      <c r="N72" s="287">
        <f t="shared" si="22"/>
        <v>12</v>
      </c>
      <c r="O72" s="285"/>
      <c r="P72" s="285"/>
      <c r="Q72" s="285"/>
      <c r="R72" s="285"/>
      <c r="S72" s="285"/>
      <c r="T72" s="285"/>
      <c r="U72" s="148">
        <f t="shared" si="6"/>
        <v>0</v>
      </c>
      <c r="V72" s="285"/>
      <c r="W72" s="288"/>
      <c r="X72" s="286"/>
      <c r="Y72" s="286"/>
      <c r="Z72" s="271">
        <f t="shared" si="7"/>
        <v>12</v>
      </c>
      <c r="AA72" s="286"/>
    </row>
    <row r="73" spans="1:27" ht="18.75" customHeight="1" x14ac:dyDescent="0.25">
      <c r="A73" s="147" t="s">
        <v>723</v>
      </c>
      <c r="B73" s="281" t="s">
        <v>724</v>
      </c>
      <c r="C73" s="282">
        <v>34.4</v>
      </c>
      <c r="D73" s="150"/>
      <c r="E73" s="150"/>
      <c r="F73" s="150"/>
      <c r="G73" s="283">
        <v>34.1</v>
      </c>
      <c r="H73" s="283">
        <v>34</v>
      </c>
      <c r="I73" s="283"/>
      <c r="J73" s="283"/>
      <c r="K73" s="299"/>
      <c r="L73" s="283"/>
      <c r="M73" s="288">
        <v>0</v>
      </c>
      <c r="N73" s="287">
        <f t="shared" si="22"/>
        <v>0</v>
      </c>
      <c r="O73" s="285"/>
      <c r="P73" s="285"/>
      <c r="Q73" s="285"/>
      <c r="R73" s="285"/>
      <c r="S73" s="285">
        <v>35</v>
      </c>
      <c r="T73" s="285"/>
      <c r="U73" s="148">
        <f t="shared" si="6"/>
        <v>35</v>
      </c>
      <c r="V73" s="285"/>
      <c r="W73" s="288"/>
      <c r="X73" s="286"/>
      <c r="Y73" s="286"/>
      <c r="Z73" s="271">
        <f t="shared" si="7"/>
        <v>35</v>
      </c>
      <c r="AA73" s="286"/>
    </row>
    <row r="74" spans="1:27" ht="18.75" hidden="1" customHeight="1" x14ac:dyDescent="0.25">
      <c r="A74" s="147" t="s">
        <v>723</v>
      </c>
      <c r="B74" s="281" t="s">
        <v>725</v>
      </c>
      <c r="C74" s="282">
        <v>0</v>
      </c>
      <c r="D74" s="150"/>
      <c r="E74" s="150"/>
      <c r="F74" s="150"/>
      <c r="G74" s="283"/>
      <c r="H74" s="283"/>
      <c r="I74" s="283"/>
      <c r="J74" s="283"/>
      <c r="K74" s="300"/>
      <c r="L74" s="283"/>
      <c r="M74" s="288"/>
      <c r="N74" s="287"/>
      <c r="O74" s="285"/>
      <c r="P74" s="285"/>
      <c r="Q74" s="285"/>
      <c r="R74" s="285"/>
      <c r="S74" s="285"/>
      <c r="T74" s="285"/>
      <c r="U74" s="301">
        <f t="shared" si="6"/>
        <v>0</v>
      </c>
      <c r="V74" s="286"/>
      <c r="W74" s="302"/>
      <c r="X74" s="286"/>
      <c r="Y74" s="286"/>
      <c r="Z74" s="259">
        <f t="shared" si="7"/>
        <v>0</v>
      </c>
      <c r="AA74" s="286"/>
    </row>
    <row r="75" spans="1:27" s="275" customFormat="1" ht="18.75" customHeight="1" x14ac:dyDescent="0.25">
      <c r="A75" s="152" t="s">
        <v>726</v>
      </c>
      <c r="B75" s="290" t="s">
        <v>727</v>
      </c>
      <c r="C75" s="291">
        <f>C76+C77+C78+C79+C80+C81</f>
        <v>277.8</v>
      </c>
      <c r="D75" s="291">
        <f t="shared" ref="D75:AA75" si="28">D76+D77+D78+D79+D80+D81</f>
        <v>277.8</v>
      </c>
      <c r="E75" s="291">
        <f t="shared" si="28"/>
        <v>0</v>
      </c>
      <c r="F75" s="291">
        <f t="shared" si="28"/>
        <v>0</v>
      </c>
      <c r="G75" s="291">
        <f t="shared" si="28"/>
        <v>277.3</v>
      </c>
      <c r="H75" s="291">
        <f t="shared" si="28"/>
        <v>104.9</v>
      </c>
      <c r="I75" s="291">
        <f t="shared" si="28"/>
        <v>0</v>
      </c>
      <c r="J75" s="291">
        <f t="shared" si="28"/>
        <v>0</v>
      </c>
      <c r="K75" s="291"/>
      <c r="L75" s="291">
        <f t="shared" si="28"/>
        <v>0</v>
      </c>
      <c r="M75" s="292">
        <f t="shared" si="28"/>
        <v>187.8</v>
      </c>
      <c r="N75" s="293">
        <f t="shared" si="28"/>
        <v>-90</v>
      </c>
      <c r="O75" s="292">
        <f t="shared" si="28"/>
        <v>0</v>
      </c>
      <c r="P75" s="292">
        <f t="shared" si="28"/>
        <v>0</v>
      </c>
      <c r="Q75" s="292">
        <f t="shared" si="28"/>
        <v>0</v>
      </c>
      <c r="R75" s="292">
        <f t="shared" si="28"/>
        <v>0</v>
      </c>
      <c r="S75" s="292">
        <f t="shared" si="28"/>
        <v>0</v>
      </c>
      <c r="T75" s="292">
        <f t="shared" si="28"/>
        <v>0</v>
      </c>
      <c r="U75" s="146">
        <f>+Q75+R75+S75+T75</f>
        <v>0</v>
      </c>
      <c r="V75" s="292">
        <f t="shared" si="28"/>
        <v>0</v>
      </c>
      <c r="W75" s="292">
        <f t="shared" si="28"/>
        <v>0</v>
      </c>
      <c r="X75" s="292">
        <f t="shared" si="28"/>
        <v>0</v>
      </c>
      <c r="Y75" s="292">
        <f t="shared" si="28"/>
        <v>0</v>
      </c>
      <c r="Z75" s="328">
        <f t="shared" si="7"/>
        <v>187.8</v>
      </c>
      <c r="AA75" s="292">
        <f t="shared" si="28"/>
        <v>0</v>
      </c>
    </row>
    <row r="76" spans="1:27" ht="18.75" hidden="1" customHeight="1" x14ac:dyDescent="0.25">
      <c r="A76" s="147" t="s">
        <v>728</v>
      </c>
      <c r="B76" s="281" t="s">
        <v>542</v>
      </c>
      <c r="C76" s="282"/>
      <c r="D76" s="150"/>
      <c r="E76" s="150"/>
      <c r="F76" s="150"/>
      <c r="G76" s="283"/>
      <c r="H76" s="283"/>
      <c r="I76" s="283"/>
      <c r="J76" s="283"/>
      <c r="K76" s="303"/>
      <c r="L76" s="283"/>
      <c r="M76" s="288"/>
      <c r="N76" s="287"/>
      <c r="O76" s="285"/>
      <c r="P76" s="285"/>
      <c r="Q76" s="285"/>
      <c r="R76" s="285"/>
      <c r="S76" s="285"/>
      <c r="T76" s="285"/>
      <c r="U76" s="301"/>
      <c r="V76" s="286"/>
      <c r="W76" s="304"/>
      <c r="X76" s="286"/>
      <c r="Y76" s="286"/>
      <c r="Z76" s="259"/>
      <c r="AA76" s="286"/>
    </row>
    <row r="77" spans="1:27" ht="18.75" hidden="1" customHeight="1" x14ac:dyDescent="0.25">
      <c r="A77" s="147" t="s">
        <v>729</v>
      </c>
      <c r="B77" s="281" t="s">
        <v>730</v>
      </c>
      <c r="C77" s="282"/>
      <c r="D77" s="150"/>
      <c r="E77" s="150"/>
      <c r="F77" s="150"/>
      <c r="G77" s="283"/>
      <c r="H77" s="283"/>
      <c r="I77" s="283"/>
      <c r="J77" s="283"/>
      <c r="K77" s="303"/>
      <c r="L77" s="283"/>
      <c r="M77" s="288"/>
      <c r="N77" s="287"/>
      <c r="O77" s="285"/>
      <c r="P77" s="285"/>
      <c r="Q77" s="285"/>
      <c r="R77" s="285"/>
      <c r="S77" s="285"/>
      <c r="T77" s="285"/>
      <c r="U77" s="301">
        <f t="shared" si="6"/>
        <v>0</v>
      </c>
      <c r="V77" s="286"/>
      <c r="W77" s="304">
        <f>8.8-8.8</f>
        <v>0</v>
      </c>
      <c r="X77" s="286"/>
      <c r="Y77" s="286"/>
      <c r="Z77" s="259">
        <f t="shared" si="7"/>
        <v>0</v>
      </c>
      <c r="AA77" s="286"/>
    </row>
    <row r="78" spans="1:27" ht="18.75" hidden="1" customHeight="1" x14ac:dyDescent="0.25">
      <c r="A78" s="147" t="s">
        <v>731</v>
      </c>
      <c r="B78" s="281" t="s">
        <v>545</v>
      </c>
      <c r="C78" s="282"/>
      <c r="D78" s="150"/>
      <c r="E78" s="150"/>
      <c r="F78" s="150"/>
      <c r="G78" s="283"/>
      <c r="H78" s="283"/>
      <c r="I78" s="283"/>
      <c r="J78" s="283"/>
      <c r="K78" s="154"/>
      <c r="L78" s="283"/>
      <c r="M78" s="288"/>
      <c r="N78" s="287"/>
      <c r="O78" s="285"/>
      <c r="P78" s="285"/>
      <c r="Q78" s="285"/>
      <c r="R78" s="285"/>
      <c r="S78" s="285"/>
      <c r="T78" s="285"/>
      <c r="U78" s="301"/>
      <c r="V78" s="286"/>
      <c r="W78" s="304"/>
      <c r="X78" s="286"/>
      <c r="Y78" s="286"/>
      <c r="Z78" s="259"/>
      <c r="AA78" s="286"/>
    </row>
    <row r="79" spans="1:27" ht="18.75" customHeight="1" x14ac:dyDescent="0.25">
      <c r="A79" s="147" t="s">
        <v>732</v>
      </c>
      <c r="B79" s="281" t="s">
        <v>733</v>
      </c>
      <c r="C79" s="282">
        <v>250</v>
      </c>
      <c r="D79" s="150">
        <v>250</v>
      </c>
      <c r="E79" s="150"/>
      <c r="F79" s="150"/>
      <c r="G79" s="283">
        <v>250</v>
      </c>
      <c r="H79" s="283">
        <v>85.8</v>
      </c>
      <c r="I79" s="283"/>
      <c r="J79" s="283"/>
      <c r="K79" s="320" t="s">
        <v>734</v>
      </c>
      <c r="L79" s="283"/>
      <c r="M79" s="322">
        <v>175</v>
      </c>
      <c r="N79" s="287">
        <f t="shared" ref="N79:N81" si="29">M79-D79-F79</f>
        <v>-75</v>
      </c>
      <c r="O79" s="285"/>
      <c r="P79" s="285"/>
      <c r="Q79" s="285"/>
      <c r="R79" s="285"/>
      <c r="S79" s="285"/>
      <c r="T79" s="285"/>
      <c r="U79" s="148">
        <f t="shared" si="6"/>
        <v>0</v>
      </c>
      <c r="V79" s="285"/>
      <c r="W79" s="288"/>
      <c r="X79" s="286"/>
      <c r="Y79" s="286"/>
      <c r="Z79" s="271">
        <f t="shared" si="7"/>
        <v>175</v>
      </c>
      <c r="AA79" s="286"/>
    </row>
    <row r="80" spans="1:27" ht="18.75" customHeight="1" x14ac:dyDescent="0.25">
      <c r="A80" s="147" t="s">
        <v>735</v>
      </c>
      <c r="B80" s="281" t="s">
        <v>736</v>
      </c>
      <c r="C80" s="282">
        <v>1</v>
      </c>
      <c r="D80" s="150">
        <v>1</v>
      </c>
      <c r="E80" s="150"/>
      <c r="F80" s="150"/>
      <c r="G80" s="283">
        <v>0.5</v>
      </c>
      <c r="H80" s="283">
        <v>0.5</v>
      </c>
      <c r="I80" s="283"/>
      <c r="J80" s="283"/>
      <c r="K80" s="320" t="s">
        <v>737</v>
      </c>
      <c r="L80" s="283"/>
      <c r="M80" s="322">
        <v>1</v>
      </c>
      <c r="N80" s="287">
        <f t="shared" si="29"/>
        <v>0</v>
      </c>
      <c r="O80" s="285"/>
      <c r="P80" s="285"/>
      <c r="Q80" s="285"/>
      <c r="R80" s="285"/>
      <c r="S80" s="285"/>
      <c r="T80" s="285"/>
      <c r="U80" s="148">
        <f t="shared" ref="U80:U100" si="30">SUM(Q80:T80)</f>
        <v>0</v>
      </c>
      <c r="V80" s="285"/>
      <c r="W80" s="288"/>
      <c r="X80" s="286"/>
      <c r="Y80" s="286"/>
      <c r="Z80" s="271">
        <f t="shared" ref="Z80:Z100" si="31">M80+O80+U80+V80+W80+X80</f>
        <v>1</v>
      </c>
      <c r="AA80" s="286"/>
    </row>
    <row r="81" spans="1:27" ht="18.75" customHeight="1" x14ac:dyDescent="0.25">
      <c r="A81" s="147" t="s">
        <v>738</v>
      </c>
      <c r="B81" s="281" t="s">
        <v>739</v>
      </c>
      <c r="C81" s="282">
        <v>26.8</v>
      </c>
      <c r="D81" s="150">
        <v>26.8</v>
      </c>
      <c r="E81" s="150"/>
      <c r="F81" s="150"/>
      <c r="G81" s="283">
        <v>26.8</v>
      </c>
      <c r="H81" s="283">
        <v>18.600000000000001</v>
      </c>
      <c r="I81" s="283"/>
      <c r="J81" s="283"/>
      <c r="K81" s="320" t="s">
        <v>740</v>
      </c>
      <c r="L81" s="283"/>
      <c r="M81" s="322">
        <v>11.8</v>
      </c>
      <c r="N81" s="287">
        <f t="shared" si="29"/>
        <v>-15</v>
      </c>
      <c r="O81" s="285"/>
      <c r="P81" s="285"/>
      <c r="Q81" s="285"/>
      <c r="R81" s="285"/>
      <c r="S81" s="285"/>
      <c r="T81" s="285"/>
      <c r="U81" s="148">
        <f t="shared" si="30"/>
        <v>0</v>
      </c>
      <c r="V81" s="285"/>
      <c r="W81" s="288"/>
      <c r="X81" s="286"/>
      <c r="Y81" s="286"/>
      <c r="Z81" s="271">
        <f t="shared" si="31"/>
        <v>11.8</v>
      </c>
      <c r="AA81" s="286"/>
    </row>
    <row r="82" spans="1:27" s="275" customFormat="1" ht="18.75" customHeight="1" x14ac:dyDescent="0.25">
      <c r="A82" s="144" t="s">
        <v>741</v>
      </c>
      <c r="B82" s="295" t="s">
        <v>742</v>
      </c>
      <c r="C82" s="282">
        <f>C83+C94</f>
        <v>1255.6999999999998</v>
      </c>
      <c r="D82" s="305">
        <f t="shared" ref="D82:AA82" si="32">D83+D94</f>
        <v>1004.7</v>
      </c>
      <c r="E82" s="305">
        <f t="shared" si="32"/>
        <v>0</v>
      </c>
      <c r="F82" s="305">
        <f t="shared" si="32"/>
        <v>44.4</v>
      </c>
      <c r="G82" s="305">
        <f t="shared" si="32"/>
        <v>2091</v>
      </c>
      <c r="H82" s="305">
        <f t="shared" si="32"/>
        <v>1697.0000000000002</v>
      </c>
      <c r="I82" s="305">
        <f t="shared" si="32"/>
        <v>0</v>
      </c>
      <c r="J82" s="305">
        <f t="shared" si="32"/>
        <v>0</v>
      </c>
      <c r="K82" s="296"/>
      <c r="L82" s="296">
        <f t="shared" si="32"/>
        <v>0</v>
      </c>
      <c r="M82" s="297">
        <f t="shared" si="32"/>
        <v>1765.8000000000002</v>
      </c>
      <c r="N82" s="298">
        <f t="shared" si="32"/>
        <v>716.7</v>
      </c>
      <c r="O82" s="297">
        <f t="shared" si="32"/>
        <v>0</v>
      </c>
      <c r="P82" s="297">
        <f t="shared" si="32"/>
        <v>0</v>
      </c>
      <c r="Q82" s="297">
        <f t="shared" si="32"/>
        <v>0</v>
      </c>
      <c r="R82" s="297">
        <f t="shared" si="32"/>
        <v>0</v>
      </c>
      <c r="S82" s="297">
        <f t="shared" si="32"/>
        <v>0</v>
      </c>
      <c r="T82" s="297">
        <f t="shared" si="32"/>
        <v>1622.5</v>
      </c>
      <c r="U82" s="297">
        <f t="shared" si="32"/>
        <v>1622.5</v>
      </c>
      <c r="V82" s="297">
        <f t="shared" si="32"/>
        <v>0</v>
      </c>
      <c r="W82" s="297">
        <f t="shared" si="32"/>
        <v>0</v>
      </c>
      <c r="X82" s="306">
        <f t="shared" si="32"/>
        <v>0</v>
      </c>
      <c r="Y82" s="306">
        <f t="shared" si="32"/>
        <v>0</v>
      </c>
      <c r="Z82" s="329">
        <f t="shared" si="32"/>
        <v>3388.3</v>
      </c>
      <c r="AA82" s="306">
        <f t="shared" si="32"/>
        <v>0</v>
      </c>
    </row>
    <row r="83" spans="1:27" s="275" customFormat="1" ht="18.75" customHeight="1" x14ac:dyDescent="0.25">
      <c r="A83" s="152" t="s">
        <v>743</v>
      </c>
      <c r="B83" s="290" t="s">
        <v>744</v>
      </c>
      <c r="C83" s="291">
        <f>C84+C85+C86+C87+C88+C89+C90+C91+C92</f>
        <v>876.8</v>
      </c>
      <c r="D83" s="291">
        <f t="shared" ref="D83:F83" si="33">D84+D85+D86+D87+D88+D89+D90+D91+D92</f>
        <v>712</v>
      </c>
      <c r="E83" s="291">
        <f t="shared" si="33"/>
        <v>0</v>
      </c>
      <c r="F83" s="291">
        <f t="shared" si="33"/>
        <v>0</v>
      </c>
      <c r="G83" s="291">
        <f>G84+G85+G86+G87+G88+G89+G90+G91+G92+G93</f>
        <v>1801.9</v>
      </c>
      <c r="H83" s="291">
        <f>H84+H85+H86+H87+H88+H89+H90+H91+H92+H93</f>
        <v>1449.3000000000002</v>
      </c>
      <c r="I83" s="291">
        <f t="shared" ref="I83:L83" si="34">I84+I85+I86+I87+I88+I89+I90+I91</f>
        <v>0</v>
      </c>
      <c r="J83" s="291">
        <f t="shared" si="34"/>
        <v>0</v>
      </c>
      <c r="K83" s="291"/>
      <c r="L83" s="291">
        <f t="shared" si="34"/>
        <v>0</v>
      </c>
      <c r="M83" s="292">
        <f>M84+M85+M86+M87+M88+M89+M90+M91+M92+M93</f>
        <v>1400.4</v>
      </c>
      <c r="N83" s="293">
        <f>N84+N85+N86+N87+N88+N89+N90+N91+N92+N93</f>
        <v>688.40000000000009</v>
      </c>
      <c r="O83" s="292">
        <f t="shared" ref="O83:AA83" si="35">O84+O85+O86+O87+O88+O89+O90+O91+O92+O93</f>
        <v>0</v>
      </c>
      <c r="P83" s="292">
        <f t="shared" si="35"/>
        <v>0</v>
      </c>
      <c r="Q83" s="292">
        <f t="shared" si="35"/>
        <v>0</v>
      </c>
      <c r="R83" s="292">
        <f t="shared" si="35"/>
        <v>0</v>
      </c>
      <c r="S83" s="292">
        <f t="shared" si="35"/>
        <v>0</v>
      </c>
      <c r="T83" s="292">
        <f t="shared" si="35"/>
        <v>1580</v>
      </c>
      <c r="U83" s="146">
        <f>+Q83+R83+S83+T83</f>
        <v>1580</v>
      </c>
      <c r="V83" s="292">
        <f t="shared" si="35"/>
        <v>0</v>
      </c>
      <c r="W83" s="292">
        <f t="shared" si="35"/>
        <v>0</v>
      </c>
      <c r="X83" s="292">
        <f t="shared" si="35"/>
        <v>0</v>
      </c>
      <c r="Y83" s="292">
        <f t="shared" si="35"/>
        <v>0</v>
      </c>
      <c r="Z83" s="328">
        <f t="shared" ref="Z83" si="36">M83+O83+U83+V83+W83+X83</f>
        <v>2980.4</v>
      </c>
      <c r="AA83" s="292">
        <f t="shared" si="35"/>
        <v>0</v>
      </c>
    </row>
    <row r="84" spans="1:27" ht="18.75" customHeight="1" x14ac:dyDescent="0.25">
      <c r="A84" s="147" t="s">
        <v>745</v>
      </c>
      <c r="B84" s="281" t="s">
        <v>746</v>
      </c>
      <c r="C84" s="282">
        <v>85</v>
      </c>
      <c r="D84" s="150">
        <v>85</v>
      </c>
      <c r="E84" s="150"/>
      <c r="F84" s="150"/>
      <c r="G84" s="283">
        <v>86</v>
      </c>
      <c r="H84" s="283">
        <v>82.2</v>
      </c>
      <c r="I84" s="283"/>
      <c r="J84" s="283"/>
      <c r="K84" s="320" t="s">
        <v>747</v>
      </c>
      <c r="L84" s="283"/>
      <c r="M84" s="322">
        <v>85</v>
      </c>
      <c r="N84" s="287">
        <f t="shared" ref="N84:N100" si="37">M84-D84-F84</f>
        <v>0</v>
      </c>
      <c r="O84" s="285"/>
      <c r="P84" s="285"/>
      <c r="Q84" s="285"/>
      <c r="R84" s="285"/>
      <c r="S84" s="285"/>
      <c r="T84" s="285"/>
      <c r="U84" s="148">
        <f t="shared" si="30"/>
        <v>0</v>
      </c>
      <c r="V84" s="285"/>
      <c r="W84" s="288"/>
      <c r="X84" s="286"/>
      <c r="Y84" s="286"/>
      <c r="Z84" s="271">
        <f t="shared" si="31"/>
        <v>85</v>
      </c>
      <c r="AA84" s="286"/>
    </row>
    <row r="85" spans="1:27" ht="18.75" customHeight="1" x14ac:dyDescent="0.25">
      <c r="A85" s="147" t="s">
        <v>748</v>
      </c>
      <c r="B85" s="281" t="s">
        <v>749</v>
      </c>
      <c r="C85" s="282">
        <v>250</v>
      </c>
      <c r="D85" s="150">
        <v>250</v>
      </c>
      <c r="E85" s="150"/>
      <c r="F85" s="150"/>
      <c r="G85" s="283">
        <v>1385.4</v>
      </c>
      <c r="H85" s="283">
        <v>1304.8</v>
      </c>
      <c r="I85" s="283"/>
      <c r="J85" s="283"/>
      <c r="K85" s="320" t="s">
        <v>750</v>
      </c>
      <c r="L85" s="283"/>
      <c r="M85" s="322">
        <f>300-150</f>
        <v>150</v>
      </c>
      <c r="N85" s="287">
        <f t="shared" si="37"/>
        <v>-100</v>
      </c>
      <c r="O85" s="285"/>
      <c r="P85" s="285"/>
      <c r="Q85" s="285"/>
      <c r="R85" s="285"/>
      <c r="S85" s="285"/>
      <c r="T85" s="285"/>
      <c r="U85" s="148">
        <f t="shared" si="30"/>
        <v>0</v>
      </c>
      <c r="V85" s="285"/>
      <c r="W85" s="288"/>
      <c r="X85" s="286"/>
      <c r="Y85" s="286"/>
      <c r="Z85" s="271">
        <f t="shared" si="31"/>
        <v>150</v>
      </c>
      <c r="AA85" s="286"/>
    </row>
    <row r="86" spans="1:27" ht="18.75" customHeight="1" x14ac:dyDescent="0.25">
      <c r="A86" s="147" t="s">
        <v>751</v>
      </c>
      <c r="B86" s="281" t="s">
        <v>752</v>
      </c>
      <c r="C86" s="282"/>
      <c r="D86" s="150"/>
      <c r="E86" s="150"/>
      <c r="F86" s="150"/>
      <c r="G86" s="283"/>
      <c r="H86" s="283"/>
      <c r="I86" s="283"/>
      <c r="J86" s="283"/>
      <c r="K86" s="320" t="s">
        <v>753</v>
      </c>
      <c r="L86" s="283"/>
      <c r="M86" s="322">
        <v>50</v>
      </c>
      <c r="N86" s="287">
        <f t="shared" si="37"/>
        <v>50</v>
      </c>
      <c r="O86" s="285"/>
      <c r="P86" s="285"/>
      <c r="Q86" s="285"/>
      <c r="R86" s="285"/>
      <c r="S86" s="285"/>
      <c r="T86" s="285"/>
      <c r="U86" s="148">
        <f t="shared" si="30"/>
        <v>0</v>
      </c>
      <c r="V86" s="285"/>
      <c r="W86" s="288"/>
      <c r="X86" s="286"/>
      <c r="Y86" s="286"/>
      <c r="Z86" s="271">
        <f t="shared" si="31"/>
        <v>50</v>
      </c>
      <c r="AA86" s="286"/>
    </row>
    <row r="87" spans="1:27" ht="18.75" customHeight="1" x14ac:dyDescent="0.25">
      <c r="A87" s="147" t="s">
        <v>754</v>
      </c>
      <c r="B87" s="281" t="s">
        <v>755</v>
      </c>
      <c r="C87" s="282">
        <v>100</v>
      </c>
      <c r="D87" s="150">
        <v>100</v>
      </c>
      <c r="E87" s="150"/>
      <c r="F87" s="150"/>
      <c r="G87" s="283">
        <v>100</v>
      </c>
      <c r="H87" s="283">
        <v>0.4</v>
      </c>
      <c r="I87" s="283"/>
      <c r="J87" s="283"/>
      <c r="K87" s="74" t="s">
        <v>209</v>
      </c>
      <c r="L87" s="283"/>
      <c r="M87" s="322">
        <v>30</v>
      </c>
      <c r="N87" s="287">
        <f t="shared" si="37"/>
        <v>-70</v>
      </c>
      <c r="O87" s="285"/>
      <c r="P87" s="285"/>
      <c r="Q87" s="285"/>
      <c r="R87" s="285"/>
      <c r="S87" s="285"/>
      <c r="T87" s="285">
        <v>170</v>
      </c>
      <c r="U87" s="148">
        <f t="shared" si="30"/>
        <v>170</v>
      </c>
      <c r="V87" s="285"/>
      <c r="W87" s="288"/>
      <c r="X87" s="286"/>
      <c r="Y87" s="286"/>
      <c r="Z87" s="271">
        <f t="shared" si="31"/>
        <v>200</v>
      </c>
      <c r="AA87" s="286"/>
    </row>
    <row r="88" spans="1:27" ht="18.75" customHeight="1" x14ac:dyDescent="0.25">
      <c r="A88" s="147" t="s">
        <v>756</v>
      </c>
      <c r="B88" s="281" t="s">
        <v>757</v>
      </c>
      <c r="C88" s="282">
        <v>221</v>
      </c>
      <c r="D88" s="150">
        <v>120</v>
      </c>
      <c r="E88" s="150"/>
      <c r="F88" s="150"/>
      <c r="G88" s="283">
        <v>129.1</v>
      </c>
      <c r="H88" s="283">
        <v>34.5</v>
      </c>
      <c r="I88" s="283"/>
      <c r="J88" s="283"/>
      <c r="K88" s="74" t="s">
        <v>209</v>
      </c>
      <c r="L88" s="283"/>
      <c r="M88" s="322">
        <v>450</v>
      </c>
      <c r="N88" s="287">
        <f t="shared" si="37"/>
        <v>330</v>
      </c>
      <c r="O88" s="285"/>
      <c r="P88" s="285"/>
      <c r="Q88" s="285"/>
      <c r="R88" s="285"/>
      <c r="S88" s="285"/>
      <c r="T88" s="285">
        <v>650</v>
      </c>
      <c r="U88" s="148">
        <f t="shared" si="30"/>
        <v>650</v>
      </c>
      <c r="V88" s="285"/>
      <c r="W88" s="288"/>
      <c r="X88" s="286"/>
      <c r="Y88" s="286"/>
      <c r="Z88" s="271">
        <f t="shared" si="31"/>
        <v>1100</v>
      </c>
      <c r="AA88" s="286"/>
    </row>
    <row r="89" spans="1:27" ht="18.75" customHeight="1" x14ac:dyDescent="0.25">
      <c r="A89" s="147" t="s">
        <v>758</v>
      </c>
      <c r="B89" s="281" t="s">
        <v>759</v>
      </c>
      <c r="C89" s="282">
        <v>50</v>
      </c>
      <c r="D89" s="150">
        <v>50</v>
      </c>
      <c r="E89" s="150"/>
      <c r="F89" s="150"/>
      <c r="G89" s="283">
        <v>50</v>
      </c>
      <c r="H89" s="283">
        <v>1.2</v>
      </c>
      <c r="I89" s="283"/>
      <c r="J89" s="283"/>
      <c r="K89" s="74" t="s">
        <v>209</v>
      </c>
      <c r="L89" s="283"/>
      <c r="M89" s="322">
        <v>250</v>
      </c>
      <c r="N89" s="287">
        <f t="shared" si="37"/>
        <v>200</v>
      </c>
      <c r="O89" s="285"/>
      <c r="P89" s="285"/>
      <c r="Q89" s="285"/>
      <c r="R89" s="285"/>
      <c r="S89" s="285"/>
      <c r="T89" s="285">
        <v>460</v>
      </c>
      <c r="U89" s="148">
        <f t="shared" si="30"/>
        <v>460</v>
      </c>
      <c r="V89" s="285"/>
      <c r="W89" s="288"/>
      <c r="X89" s="286"/>
      <c r="Y89" s="286"/>
      <c r="Z89" s="271">
        <f>M89+O89+U89+V89+W89+X89</f>
        <v>710</v>
      </c>
      <c r="AA89" s="286"/>
    </row>
    <row r="90" spans="1:27" ht="18.75" hidden="1" customHeight="1" x14ac:dyDescent="0.25">
      <c r="A90" s="147" t="s">
        <v>760</v>
      </c>
      <c r="B90" s="281" t="s">
        <v>761</v>
      </c>
      <c r="C90" s="282"/>
      <c r="D90" s="150"/>
      <c r="E90" s="150"/>
      <c r="F90" s="150"/>
      <c r="G90" s="283"/>
      <c r="H90" s="283"/>
      <c r="I90" s="283"/>
      <c r="J90" s="283"/>
      <c r="K90" s="323"/>
      <c r="L90" s="283"/>
      <c r="M90" s="322"/>
      <c r="N90" s="287">
        <f t="shared" si="37"/>
        <v>0</v>
      </c>
      <c r="O90" s="285"/>
      <c r="P90" s="285"/>
      <c r="Q90" s="285"/>
      <c r="R90" s="285"/>
      <c r="S90" s="285"/>
      <c r="T90" s="285"/>
      <c r="U90" s="148">
        <f t="shared" si="30"/>
        <v>0</v>
      </c>
      <c r="V90" s="285"/>
      <c r="W90" s="288"/>
      <c r="X90" s="286"/>
      <c r="Y90" s="286"/>
      <c r="Z90" s="271">
        <f t="shared" si="31"/>
        <v>0</v>
      </c>
      <c r="AA90" s="286"/>
    </row>
    <row r="91" spans="1:27" ht="18.75" customHeight="1" x14ac:dyDescent="0.25">
      <c r="A91" s="147" t="s">
        <v>762</v>
      </c>
      <c r="B91" s="281" t="s">
        <v>763</v>
      </c>
      <c r="C91" s="282">
        <v>138.80000000000001</v>
      </c>
      <c r="D91" s="150">
        <v>75</v>
      </c>
      <c r="E91" s="150"/>
      <c r="F91" s="150"/>
      <c r="G91" s="283">
        <v>9.4</v>
      </c>
      <c r="H91" s="283">
        <v>4.4000000000000004</v>
      </c>
      <c r="I91" s="283"/>
      <c r="J91" s="283"/>
      <c r="K91" s="74" t="s">
        <v>209</v>
      </c>
      <c r="L91" s="283"/>
      <c r="M91" s="322">
        <v>300</v>
      </c>
      <c r="N91" s="287">
        <f t="shared" si="37"/>
        <v>225</v>
      </c>
      <c r="O91" s="285"/>
      <c r="P91" s="285"/>
      <c r="Q91" s="285"/>
      <c r="R91" s="285"/>
      <c r="S91" s="285"/>
      <c r="T91" s="285">
        <v>300</v>
      </c>
      <c r="U91" s="148">
        <f t="shared" si="30"/>
        <v>300</v>
      </c>
      <c r="V91" s="285"/>
      <c r="W91" s="288"/>
      <c r="X91" s="286"/>
      <c r="Y91" s="286"/>
      <c r="Z91" s="271">
        <f t="shared" si="31"/>
        <v>600</v>
      </c>
      <c r="AA91" s="286"/>
    </row>
    <row r="92" spans="1:27" ht="18.75" customHeight="1" x14ac:dyDescent="0.25">
      <c r="A92" s="147" t="s">
        <v>764</v>
      </c>
      <c r="B92" s="281" t="s">
        <v>765</v>
      </c>
      <c r="C92" s="282">
        <v>32</v>
      </c>
      <c r="D92" s="150">
        <v>32</v>
      </c>
      <c r="E92" s="150"/>
      <c r="F92" s="150"/>
      <c r="G92" s="283">
        <v>32</v>
      </c>
      <c r="H92" s="283">
        <v>18.5</v>
      </c>
      <c r="I92" s="283"/>
      <c r="J92" s="283"/>
      <c r="K92" s="74" t="s">
        <v>209</v>
      </c>
      <c r="L92" s="283"/>
      <c r="M92" s="322">
        <f>20.7+15</f>
        <v>35.700000000000003</v>
      </c>
      <c r="N92" s="287">
        <f t="shared" si="37"/>
        <v>3.7000000000000028</v>
      </c>
      <c r="O92" s="285"/>
      <c r="P92" s="285"/>
      <c r="Q92" s="285"/>
      <c r="R92" s="285"/>
      <c r="S92" s="285"/>
      <c r="T92" s="285"/>
      <c r="U92" s="148">
        <f t="shared" si="30"/>
        <v>0</v>
      </c>
      <c r="V92" s="285"/>
      <c r="W92" s="288"/>
      <c r="X92" s="286"/>
      <c r="Y92" s="286"/>
      <c r="Z92" s="271">
        <f t="shared" si="31"/>
        <v>35.700000000000003</v>
      </c>
      <c r="AA92" s="286"/>
    </row>
    <row r="93" spans="1:27" ht="18.75" customHeight="1" x14ac:dyDescent="0.25">
      <c r="A93" s="147" t="s">
        <v>766</v>
      </c>
      <c r="B93" s="281" t="s">
        <v>767</v>
      </c>
      <c r="C93" s="282"/>
      <c r="D93" s="150"/>
      <c r="E93" s="150"/>
      <c r="F93" s="150"/>
      <c r="G93" s="283">
        <v>10</v>
      </c>
      <c r="H93" s="283">
        <v>3.3</v>
      </c>
      <c r="I93" s="283"/>
      <c r="J93" s="283"/>
      <c r="K93" s="74" t="s">
        <v>209</v>
      </c>
      <c r="L93" s="283"/>
      <c r="M93" s="322">
        <f>39.6+10.1</f>
        <v>49.7</v>
      </c>
      <c r="N93" s="287">
        <f t="shared" si="37"/>
        <v>49.7</v>
      </c>
      <c r="O93" s="285"/>
      <c r="P93" s="285"/>
      <c r="Q93" s="285"/>
      <c r="R93" s="285"/>
      <c r="S93" s="285"/>
      <c r="T93" s="285"/>
      <c r="U93" s="148">
        <f t="shared" si="30"/>
        <v>0</v>
      </c>
      <c r="V93" s="285"/>
      <c r="W93" s="288"/>
      <c r="X93" s="286"/>
      <c r="Y93" s="286"/>
      <c r="Z93" s="271">
        <f t="shared" si="31"/>
        <v>49.7</v>
      </c>
      <c r="AA93" s="286"/>
    </row>
    <row r="94" spans="1:27" s="275" customFormat="1" ht="18.75" customHeight="1" x14ac:dyDescent="0.25">
      <c r="A94" s="152" t="s">
        <v>768</v>
      </c>
      <c r="B94" s="290" t="s">
        <v>769</v>
      </c>
      <c r="C94" s="291">
        <f>C95+C96+C97+C98+C99+C100</f>
        <v>378.9</v>
      </c>
      <c r="D94" s="291">
        <f t="shared" ref="D94:AA94" si="38">D95+D96+D97+D98+D99+D100</f>
        <v>292.7</v>
      </c>
      <c r="E94" s="291">
        <f t="shared" si="38"/>
        <v>0</v>
      </c>
      <c r="F94" s="291">
        <f t="shared" si="38"/>
        <v>44.4</v>
      </c>
      <c r="G94" s="291">
        <f t="shared" si="38"/>
        <v>289.10000000000002</v>
      </c>
      <c r="H94" s="291">
        <f t="shared" si="38"/>
        <v>247.7</v>
      </c>
      <c r="I94" s="291">
        <f t="shared" si="38"/>
        <v>0</v>
      </c>
      <c r="J94" s="291">
        <f t="shared" si="38"/>
        <v>0</v>
      </c>
      <c r="K94" s="291"/>
      <c r="L94" s="291">
        <f t="shared" si="38"/>
        <v>0</v>
      </c>
      <c r="M94" s="292">
        <f>M95+M96+M97+M98+M99+M100</f>
        <v>365.4</v>
      </c>
      <c r="N94" s="293">
        <f>N95+N96+N97+N98+N99+N100</f>
        <v>28.299999999999997</v>
      </c>
      <c r="O94" s="292">
        <f t="shared" si="38"/>
        <v>0</v>
      </c>
      <c r="P94" s="292">
        <f t="shared" si="38"/>
        <v>0</v>
      </c>
      <c r="Q94" s="292">
        <f t="shared" si="38"/>
        <v>0</v>
      </c>
      <c r="R94" s="292">
        <f t="shared" si="38"/>
        <v>0</v>
      </c>
      <c r="S94" s="292">
        <f t="shared" si="38"/>
        <v>0</v>
      </c>
      <c r="T94" s="292">
        <f t="shared" si="38"/>
        <v>42.5</v>
      </c>
      <c r="U94" s="146">
        <f t="shared" si="30"/>
        <v>42.5</v>
      </c>
      <c r="V94" s="292">
        <f t="shared" si="38"/>
        <v>0</v>
      </c>
      <c r="W94" s="292">
        <f>W95+W96+W97+W98+W99+W100</f>
        <v>0</v>
      </c>
      <c r="X94" s="292">
        <f t="shared" si="38"/>
        <v>0</v>
      </c>
      <c r="Y94" s="292">
        <f t="shared" si="38"/>
        <v>0</v>
      </c>
      <c r="Z94" s="328">
        <f t="shared" si="31"/>
        <v>407.9</v>
      </c>
      <c r="AA94" s="292">
        <f t="shared" si="38"/>
        <v>0</v>
      </c>
    </row>
    <row r="95" spans="1:27" ht="18.75" customHeight="1" x14ac:dyDescent="0.25">
      <c r="A95" s="147" t="s">
        <v>770</v>
      </c>
      <c r="B95" s="281" t="s">
        <v>771</v>
      </c>
      <c r="C95" s="282">
        <v>65.8</v>
      </c>
      <c r="D95" s="150">
        <v>61.4</v>
      </c>
      <c r="E95" s="150"/>
      <c r="F95" s="150">
        <v>4.4000000000000004</v>
      </c>
      <c r="G95" s="283">
        <v>65.8</v>
      </c>
      <c r="H95" s="283">
        <v>60.1</v>
      </c>
      <c r="I95" s="283"/>
      <c r="J95" s="283"/>
      <c r="K95" s="320" t="s">
        <v>772</v>
      </c>
      <c r="L95" s="324"/>
      <c r="M95" s="288">
        <v>63</v>
      </c>
      <c r="N95" s="287">
        <f t="shared" si="37"/>
        <v>-2.7999999999999989</v>
      </c>
      <c r="O95" s="285"/>
      <c r="P95" s="285"/>
      <c r="Q95" s="285"/>
      <c r="R95" s="285"/>
      <c r="S95" s="285"/>
      <c r="T95" s="285"/>
      <c r="U95" s="148">
        <f t="shared" si="30"/>
        <v>0</v>
      </c>
      <c r="V95" s="285"/>
      <c r="W95" s="288"/>
      <c r="X95" s="286"/>
      <c r="Y95" s="286"/>
      <c r="Z95" s="271">
        <f t="shared" si="31"/>
        <v>63</v>
      </c>
      <c r="AA95" s="286"/>
    </row>
    <row r="96" spans="1:27" ht="18.75" customHeight="1" x14ac:dyDescent="0.25">
      <c r="A96" s="147" t="s">
        <v>773</v>
      </c>
      <c r="B96" s="281" t="s">
        <v>774</v>
      </c>
      <c r="C96" s="282">
        <v>15</v>
      </c>
      <c r="D96" s="150">
        <v>15</v>
      </c>
      <c r="E96" s="150"/>
      <c r="F96" s="150"/>
      <c r="G96" s="283">
        <v>15</v>
      </c>
      <c r="H96" s="283">
        <v>7.2</v>
      </c>
      <c r="I96" s="283"/>
      <c r="J96" s="283"/>
      <c r="K96" s="323"/>
      <c r="L96" s="324"/>
      <c r="M96" s="288">
        <v>15</v>
      </c>
      <c r="N96" s="287">
        <f t="shared" si="37"/>
        <v>0</v>
      </c>
      <c r="O96" s="285"/>
      <c r="P96" s="285"/>
      <c r="Q96" s="285"/>
      <c r="R96" s="285"/>
      <c r="S96" s="285"/>
      <c r="T96" s="285"/>
      <c r="U96" s="148">
        <f t="shared" si="30"/>
        <v>0</v>
      </c>
      <c r="V96" s="285"/>
      <c r="W96" s="288"/>
      <c r="X96" s="286"/>
      <c r="Y96" s="286"/>
      <c r="Z96" s="271">
        <f t="shared" si="31"/>
        <v>15</v>
      </c>
      <c r="AA96" s="286"/>
    </row>
    <row r="97" spans="1:28" ht="18.75" customHeight="1" x14ac:dyDescent="0.25">
      <c r="A97" s="147" t="s">
        <v>775</v>
      </c>
      <c r="B97" s="281" t="s">
        <v>776</v>
      </c>
      <c r="C97" s="282">
        <v>160</v>
      </c>
      <c r="D97" s="150">
        <v>130</v>
      </c>
      <c r="E97" s="150"/>
      <c r="F97" s="150">
        <v>30</v>
      </c>
      <c r="G97" s="283">
        <v>160</v>
      </c>
      <c r="H97" s="283">
        <v>153.1</v>
      </c>
      <c r="I97" s="283"/>
      <c r="J97" s="283"/>
      <c r="K97" s="320" t="s">
        <v>777</v>
      </c>
      <c r="L97" s="324"/>
      <c r="M97" s="288">
        <f>128.5+50.7</f>
        <v>179.2</v>
      </c>
      <c r="N97" s="287">
        <f t="shared" si="37"/>
        <v>19.199999999999989</v>
      </c>
      <c r="O97" s="285"/>
      <c r="P97" s="285"/>
      <c r="Q97" s="285"/>
      <c r="R97" s="285"/>
      <c r="S97" s="285"/>
      <c r="T97" s="285"/>
      <c r="U97" s="148">
        <f t="shared" si="30"/>
        <v>0</v>
      </c>
      <c r="V97" s="285"/>
      <c r="W97" s="288"/>
      <c r="X97" s="286"/>
      <c r="Y97" s="286"/>
      <c r="Z97" s="271">
        <f t="shared" si="31"/>
        <v>179.2</v>
      </c>
      <c r="AA97" s="286"/>
    </row>
    <row r="98" spans="1:28" ht="18.75" hidden="1" customHeight="1" x14ac:dyDescent="0.25">
      <c r="A98" s="147" t="s">
        <v>778</v>
      </c>
      <c r="B98" s="281" t="s">
        <v>779</v>
      </c>
      <c r="C98" s="282">
        <v>0</v>
      </c>
      <c r="D98" s="150"/>
      <c r="E98" s="150"/>
      <c r="F98" s="150"/>
      <c r="G98" s="283"/>
      <c r="H98" s="283"/>
      <c r="I98" s="283"/>
      <c r="J98" s="283"/>
      <c r="K98" s="299"/>
      <c r="L98" s="283"/>
      <c r="M98" s="288"/>
      <c r="N98" s="287">
        <f t="shared" si="37"/>
        <v>0</v>
      </c>
      <c r="O98" s="285"/>
      <c r="P98" s="285"/>
      <c r="Q98" s="285"/>
      <c r="R98" s="285"/>
      <c r="S98" s="285"/>
      <c r="T98" s="285"/>
      <c r="U98" s="148">
        <f t="shared" si="30"/>
        <v>0</v>
      </c>
      <c r="V98" s="285"/>
      <c r="W98" s="288"/>
      <c r="X98" s="286"/>
      <c r="Y98" s="286"/>
      <c r="Z98" s="271">
        <f t="shared" si="31"/>
        <v>0</v>
      </c>
      <c r="AA98" s="286"/>
    </row>
    <row r="99" spans="1:28" ht="18.75" customHeight="1" x14ac:dyDescent="0.25">
      <c r="A99" s="147" t="s">
        <v>780</v>
      </c>
      <c r="B99" s="281" t="s">
        <v>781</v>
      </c>
      <c r="C99" s="282">
        <v>11</v>
      </c>
      <c r="D99" s="150">
        <v>1</v>
      </c>
      <c r="E99" s="150"/>
      <c r="F99" s="150">
        <v>10</v>
      </c>
      <c r="G99" s="283">
        <v>11</v>
      </c>
      <c r="H99" s="283">
        <v>0</v>
      </c>
      <c r="I99" s="283"/>
      <c r="J99" s="283"/>
      <c r="K99" s="299"/>
      <c r="L99" s="283"/>
      <c r="M99" s="288">
        <f>7.5+20.8</f>
        <v>28.3</v>
      </c>
      <c r="N99" s="287">
        <f t="shared" si="37"/>
        <v>17.3</v>
      </c>
      <c r="O99" s="285"/>
      <c r="P99" s="285"/>
      <c r="Q99" s="285"/>
      <c r="R99" s="285"/>
      <c r="S99" s="285"/>
      <c r="T99" s="285">
        <v>42.5</v>
      </c>
      <c r="U99" s="148">
        <f t="shared" si="30"/>
        <v>42.5</v>
      </c>
      <c r="V99" s="285"/>
      <c r="W99" s="288"/>
      <c r="X99" s="286"/>
      <c r="Y99" s="286"/>
      <c r="Z99" s="271">
        <f t="shared" si="31"/>
        <v>70.8</v>
      </c>
      <c r="AA99" s="286"/>
    </row>
    <row r="100" spans="1:28" ht="18.75" customHeight="1" x14ac:dyDescent="0.25">
      <c r="A100" s="147" t="s">
        <v>782</v>
      </c>
      <c r="B100" s="281" t="s">
        <v>783</v>
      </c>
      <c r="C100" s="282">
        <v>127.1</v>
      </c>
      <c r="D100" s="150">
        <v>85.3</v>
      </c>
      <c r="E100" s="150"/>
      <c r="F100" s="150"/>
      <c r="G100" s="283">
        <v>37.299999999999997</v>
      </c>
      <c r="H100" s="283">
        <v>27.3</v>
      </c>
      <c r="I100" s="283"/>
      <c r="J100" s="283"/>
      <c r="K100" s="151"/>
      <c r="L100" s="283"/>
      <c r="M100" s="288">
        <v>79.900000000000006</v>
      </c>
      <c r="N100" s="287">
        <f t="shared" si="37"/>
        <v>-5.3999999999999915</v>
      </c>
      <c r="O100" s="285"/>
      <c r="P100" s="285"/>
      <c r="Q100" s="285"/>
      <c r="R100" s="285"/>
      <c r="S100" s="285"/>
      <c r="T100" s="285"/>
      <c r="U100" s="148">
        <f t="shared" si="30"/>
        <v>0</v>
      </c>
      <c r="V100" s="285"/>
      <c r="W100" s="288"/>
      <c r="X100" s="286"/>
      <c r="Y100" s="286"/>
      <c r="Z100" s="271">
        <f t="shared" si="31"/>
        <v>79.900000000000006</v>
      </c>
      <c r="AA100" s="286"/>
    </row>
    <row r="101" spans="1:28" ht="18.75" customHeight="1" x14ac:dyDescent="0.25">
      <c r="K101" s="300"/>
      <c r="L101" s="283"/>
      <c r="M101" s="307">
        <f>56.3-56.3</f>
        <v>0</v>
      </c>
      <c r="N101" s="284"/>
      <c r="O101" s="285"/>
      <c r="P101" s="285"/>
      <c r="Q101" s="308"/>
      <c r="R101" s="308"/>
      <c r="S101" s="308"/>
      <c r="T101" s="308"/>
      <c r="U101" s="148">
        <f t="shared" ref="U101" si="39">Q101+R101+S101+T101</f>
        <v>0</v>
      </c>
      <c r="V101" s="308"/>
      <c r="W101" s="307"/>
      <c r="X101" s="283"/>
      <c r="Y101" s="283"/>
      <c r="Z101" s="271"/>
      <c r="AA101" s="283"/>
    </row>
    <row r="102" spans="1:28" ht="18.75" customHeight="1" x14ac:dyDescent="0.25">
      <c r="B102" s="325"/>
      <c r="Z102" s="35"/>
      <c r="AA102" s="30"/>
      <c r="AB102" s="31"/>
    </row>
    <row r="103" spans="1:28" ht="18.75" customHeight="1" x14ac:dyDescent="0.25">
      <c r="Z103" s="35"/>
      <c r="AA103" s="30"/>
      <c r="AB103" s="31"/>
    </row>
    <row r="104" spans="1:28" ht="18.75" customHeight="1" x14ac:dyDescent="0.25">
      <c r="Z104" s="35"/>
      <c r="AA104" s="30"/>
      <c r="AB104" s="31"/>
    </row>
    <row r="105" spans="1:28" ht="18.75" customHeight="1" x14ac:dyDescent="0.25">
      <c r="Z105" s="35"/>
      <c r="AA105" s="30"/>
      <c r="AB105" s="31"/>
    </row>
    <row r="106" spans="1:28" ht="18.75" customHeight="1" x14ac:dyDescent="0.25">
      <c r="Z106" s="35"/>
      <c r="AA106" s="30"/>
      <c r="AB106" s="31"/>
    </row>
    <row r="107" spans="1:28" ht="18.75" customHeight="1" x14ac:dyDescent="0.25">
      <c r="Z107" s="35"/>
      <c r="AA107" s="30"/>
      <c r="AB107" s="31"/>
    </row>
    <row r="108" spans="1:28" ht="18.75" customHeight="1" x14ac:dyDescent="0.25">
      <c r="Z108" s="35"/>
      <c r="AA108" s="30"/>
      <c r="AB108" s="31"/>
    </row>
    <row r="109" spans="1:28" ht="18.75" customHeight="1" x14ac:dyDescent="0.25">
      <c r="Z109" s="35"/>
      <c r="AA109" s="30"/>
      <c r="AB109" s="31"/>
    </row>
    <row r="110" spans="1:28" ht="18.75" customHeight="1" x14ac:dyDescent="0.25">
      <c r="Z110" s="35"/>
      <c r="AA110" s="30"/>
      <c r="AB110" s="31"/>
    </row>
    <row r="111" spans="1:28" ht="18.75" customHeight="1" x14ac:dyDescent="0.25">
      <c r="Z111" s="35"/>
      <c r="AA111" s="30"/>
      <c r="AB111" s="31"/>
    </row>
    <row r="112" spans="1:28" ht="18.75" customHeight="1" x14ac:dyDescent="0.25">
      <c r="Z112" s="35"/>
      <c r="AA112" s="30"/>
      <c r="AB112" s="31"/>
    </row>
    <row r="113" spans="26:28" ht="18.75" customHeight="1" x14ac:dyDescent="0.25">
      <c r="Z113" s="35"/>
      <c r="AA113" s="30"/>
      <c r="AB113" s="31"/>
    </row>
    <row r="114" spans="26:28" ht="18.75" customHeight="1" x14ac:dyDescent="0.25">
      <c r="Z114" s="35"/>
      <c r="AA114" s="30"/>
      <c r="AB114" s="31"/>
    </row>
    <row r="115" spans="26:28" ht="18.75" customHeight="1" x14ac:dyDescent="0.25">
      <c r="Z115" s="35"/>
      <c r="AA115" s="30"/>
      <c r="AB115" s="31"/>
    </row>
    <row r="116" spans="26:28" ht="18.75" customHeight="1" x14ac:dyDescent="0.25">
      <c r="Z116" s="35"/>
      <c r="AA116" s="30"/>
      <c r="AB116" s="31"/>
    </row>
    <row r="117" spans="26:28" ht="18.75" customHeight="1" x14ac:dyDescent="0.25">
      <c r="Z117" s="35"/>
      <c r="AA117" s="30"/>
      <c r="AB117" s="31"/>
    </row>
    <row r="118" spans="26:28" ht="18.75" customHeight="1" x14ac:dyDescent="0.25">
      <c r="Z118" s="35"/>
      <c r="AA118" s="30"/>
      <c r="AB118" s="31"/>
    </row>
    <row r="119" spans="26:28" ht="18.75" customHeight="1" x14ac:dyDescent="0.25">
      <c r="Z119" s="35"/>
      <c r="AA119" s="30"/>
      <c r="AB119" s="31"/>
    </row>
    <row r="120" spans="26:28" ht="18.75" customHeight="1" x14ac:dyDescent="0.25">
      <c r="Z120" s="35"/>
      <c r="AA120" s="30"/>
      <c r="AB120" s="31"/>
    </row>
    <row r="121" spans="26:28" ht="18.75" customHeight="1" x14ac:dyDescent="0.25">
      <c r="Z121" s="35"/>
      <c r="AA121" s="30"/>
      <c r="AB121" s="31"/>
    </row>
    <row r="122" spans="26:28" ht="18.75" customHeight="1" x14ac:dyDescent="0.25">
      <c r="Z122" s="35"/>
      <c r="AA122" s="30"/>
      <c r="AB122" s="31"/>
    </row>
    <row r="123" spans="26:28" ht="18.75" customHeight="1" x14ac:dyDescent="0.25">
      <c r="Z123" s="35"/>
      <c r="AA123" s="30"/>
      <c r="AB123" s="31"/>
    </row>
    <row r="124" spans="26:28" ht="18.75" customHeight="1" x14ac:dyDescent="0.25">
      <c r="Z124" s="35"/>
      <c r="AA124" s="30"/>
      <c r="AB124" s="31"/>
    </row>
    <row r="125" spans="26:28" ht="18.75" customHeight="1" x14ac:dyDescent="0.25">
      <c r="Z125" s="35"/>
      <c r="AA125" s="30"/>
      <c r="AB125" s="31"/>
    </row>
    <row r="126" spans="26:28" ht="18.75" customHeight="1" x14ac:dyDescent="0.25">
      <c r="Z126" s="35"/>
      <c r="AA126" s="30"/>
      <c r="AB126" s="31"/>
    </row>
    <row r="127" spans="26:28" ht="18.75" customHeight="1" x14ac:dyDescent="0.25">
      <c r="Z127" s="35"/>
      <c r="AA127" s="30"/>
      <c r="AB127" s="31"/>
    </row>
    <row r="128" spans="26:28" ht="18.75" customHeight="1" x14ac:dyDescent="0.25">
      <c r="Z128" s="35"/>
      <c r="AA128" s="30"/>
      <c r="AB128" s="31"/>
    </row>
    <row r="129" spans="26:28" ht="18.75" customHeight="1" x14ac:dyDescent="0.25">
      <c r="Z129" s="35"/>
      <c r="AA129" s="30"/>
      <c r="AB129" s="31"/>
    </row>
    <row r="130" spans="26:28" ht="18.75" customHeight="1" x14ac:dyDescent="0.25">
      <c r="Z130" s="35"/>
      <c r="AA130" s="30"/>
      <c r="AB130" s="31"/>
    </row>
    <row r="131" spans="26:28" ht="18.75" customHeight="1" x14ac:dyDescent="0.25">
      <c r="Z131" s="35"/>
      <c r="AA131" s="30"/>
      <c r="AB131" s="31"/>
    </row>
    <row r="132" spans="26:28" ht="18.75" customHeight="1" x14ac:dyDescent="0.25">
      <c r="Z132" s="35"/>
      <c r="AA132" s="30"/>
      <c r="AB132" s="31"/>
    </row>
    <row r="133" spans="26:28" ht="18.75" customHeight="1" x14ac:dyDescent="0.25">
      <c r="Z133" s="35"/>
      <c r="AA133" s="30"/>
      <c r="AB133" s="31"/>
    </row>
    <row r="134" spans="26:28" ht="18.75" customHeight="1" x14ac:dyDescent="0.25">
      <c r="Z134" s="35"/>
      <c r="AA134" s="30"/>
      <c r="AB134" s="31"/>
    </row>
    <row r="135" spans="26:28" ht="18.75" customHeight="1" x14ac:dyDescent="0.25">
      <c r="Z135" s="35"/>
      <c r="AA135" s="30"/>
      <c r="AB135" s="31"/>
    </row>
    <row r="136" spans="26:28" ht="18.75" customHeight="1" x14ac:dyDescent="0.25">
      <c r="Z136" s="35"/>
      <c r="AA136" s="30"/>
      <c r="AB136" s="31"/>
    </row>
    <row r="137" spans="26:28" ht="18.75" customHeight="1" x14ac:dyDescent="0.25">
      <c r="Z137" s="35"/>
      <c r="AA137" s="30"/>
      <c r="AB137" s="31"/>
    </row>
    <row r="138" spans="26:28" ht="18.75" customHeight="1" x14ac:dyDescent="0.25">
      <c r="Z138" s="35"/>
      <c r="AA138" s="30"/>
      <c r="AB138" s="31"/>
    </row>
    <row r="139" spans="26:28" ht="18.75" customHeight="1" x14ac:dyDescent="0.25">
      <c r="Z139" s="35"/>
      <c r="AA139" s="30"/>
      <c r="AB139" s="31"/>
    </row>
    <row r="140" spans="26:28" ht="18.75" customHeight="1" x14ac:dyDescent="0.25">
      <c r="Z140" s="35"/>
      <c r="AA140" s="30"/>
      <c r="AB140" s="31"/>
    </row>
    <row r="141" spans="26:28" ht="18.75" customHeight="1" x14ac:dyDescent="0.25">
      <c r="Z141" s="35"/>
      <c r="AA141" s="30"/>
      <c r="AB141" s="31"/>
    </row>
    <row r="142" spans="26:28" ht="18.75" customHeight="1" x14ac:dyDescent="0.25">
      <c r="Z142" s="35"/>
      <c r="AA142" s="30"/>
      <c r="AB142" s="31"/>
    </row>
    <row r="143" spans="26:28" ht="18.75" customHeight="1" x14ac:dyDescent="0.25">
      <c r="Z143" s="35"/>
      <c r="AA143" s="30"/>
      <c r="AB143" s="31"/>
    </row>
    <row r="144" spans="26:28" ht="18.75" customHeight="1" x14ac:dyDescent="0.25">
      <c r="Z144" s="35"/>
      <c r="AA144" s="30"/>
      <c r="AB144" s="31"/>
    </row>
    <row r="145" spans="26:28" ht="18.75" customHeight="1" x14ac:dyDescent="0.25">
      <c r="Z145" s="35"/>
      <c r="AA145" s="30"/>
      <c r="AB145" s="31"/>
    </row>
    <row r="146" spans="26:28" ht="18.75" customHeight="1" x14ac:dyDescent="0.25">
      <c r="Z146" s="35"/>
      <c r="AA146" s="30"/>
      <c r="AB146" s="31"/>
    </row>
    <row r="147" spans="26:28" ht="18.75" customHeight="1" x14ac:dyDescent="0.25">
      <c r="Z147" s="35"/>
      <c r="AA147" s="30"/>
      <c r="AB147" s="31"/>
    </row>
    <row r="148" spans="26:28" ht="18.75" customHeight="1" x14ac:dyDescent="0.25">
      <c r="Z148" s="35"/>
      <c r="AA148" s="30"/>
      <c r="AB148" s="31"/>
    </row>
    <row r="149" spans="26:28" ht="18.75" customHeight="1" x14ac:dyDescent="0.25">
      <c r="Z149" s="35"/>
      <c r="AA149" s="30"/>
      <c r="AB149" s="31"/>
    </row>
    <row r="150" spans="26:28" ht="18.75" customHeight="1" x14ac:dyDescent="0.25">
      <c r="Z150" s="35"/>
      <c r="AA150" s="30"/>
      <c r="AB150" s="31"/>
    </row>
    <row r="151" spans="26:28" ht="18.75" customHeight="1" x14ac:dyDescent="0.25">
      <c r="Z151" s="35"/>
      <c r="AA151" s="30"/>
      <c r="AB151" s="31"/>
    </row>
    <row r="152" spans="26:28" ht="18.75" customHeight="1" x14ac:dyDescent="0.25">
      <c r="Z152" s="35"/>
      <c r="AA152" s="30"/>
      <c r="AB152" s="31"/>
    </row>
    <row r="153" spans="26:28" ht="18.75" customHeight="1" x14ac:dyDescent="0.25">
      <c r="Z153" s="35"/>
      <c r="AA153" s="30"/>
      <c r="AB153" s="31"/>
    </row>
    <row r="154" spans="26:28" ht="18.75" customHeight="1" x14ac:dyDescent="0.25">
      <c r="Z154" s="35"/>
      <c r="AA154" s="30"/>
      <c r="AB154" s="31"/>
    </row>
    <row r="155" spans="26:28" ht="18.75" customHeight="1" x14ac:dyDescent="0.25">
      <c r="Z155" s="35"/>
      <c r="AA155" s="30"/>
      <c r="AB155" s="31"/>
    </row>
    <row r="156" spans="26:28" ht="18.75" customHeight="1" x14ac:dyDescent="0.25">
      <c r="Z156" s="35"/>
      <c r="AA156" s="30"/>
      <c r="AB156" s="31"/>
    </row>
    <row r="157" spans="26:28" ht="18.75" customHeight="1" x14ac:dyDescent="0.25">
      <c r="Z157" s="35"/>
      <c r="AA157" s="30"/>
      <c r="AB157" s="31"/>
    </row>
    <row r="158" spans="26:28" ht="18.75" customHeight="1" x14ac:dyDescent="0.25">
      <c r="Z158" s="35"/>
      <c r="AA158" s="30"/>
      <c r="AB158" s="31"/>
    </row>
    <row r="159" spans="26:28" ht="18.75" customHeight="1" x14ac:dyDescent="0.25">
      <c r="Z159" s="35"/>
      <c r="AA159" s="30"/>
      <c r="AB159" s="31"/>
    </row>
    <row r="160" spans="26:28" ht="18.75" customHeight="1" x14ac:dyDescent="0.25">
      <c r="Z160" s="35"/>
      <c r="AA160" s="30"/>
      <c r="AB160" s="31"/>
    </row>
    <row r="161" spans="26:28" ht="18.75" customHeight="1" x14ac:dyDescent="0.25">
      <c r="Z161" s="35"/>
      <c r="AA161" s="30"/>
      <c r="AB161" s="31"/>
    </row>
    <row r="162" spans="26:28" ht="18.75" customHeight="1" x14ac:dyDescent="0.25">
      <c r="Z162" s="35"/>
      <c r="AA162" s="30"/>
      <c r="AB162" s="31"/>
    </row>
    <row r="163" spans="26:28" ht="18.75" customHeight="1" x14ac:dyDescent="0.25">
      <c r="Z163" s="35"/>
      <c r="AA163" s="30"/>
      <c r="AB163" s="31"/>
    </row>
    <row r="164" spans="26:28" ht="18.75" customHeight="1" x14ac:dyDescent="0.25">
      <c r="Z164" s="35"/>
      <c r="AA164" s="30"/>
      <c r="AB164" s="31"/>
    </row>
    <row r="165" spans="26:28" ht="18.75" customHeight="1" x14ac:dyDescent="0.25">
      <c r="Z165" s="35"/>
      <c r="AA165" s="30"/>
      <c r="AB165" s="31"/>
    </row>
    <row r="166" spans="26:28" ht="18.75" customHeight="1" x14ac:dyDescent="0.25">
      <c r="Z166" s="35"/>
      <c r="AA166" s="30"/>
      <c r="AB166" s="31"/>
    </row>
    <row r="167" spans="26:28" ht="18.75" customHeight="1" x14ac:dyDescent="0.25">
      <c r="Z167" s="35"/>
      <c r="AA167" s="30"/>
      <c r="AB167" s="31"/>
    </row>
    <row r="168" spans="26:28" ht="18.75" customHeight="1" x14ac:dyDescent="0.25">
      <c r="Z168" s="35"/>
      <c r="AA168" s="30"/>
      <c r="AB168" s="31"/>
    </row>
    <row r="169" spans="26:28" ht="18.75" customHeight="1" x14ac:dyDescent="0.25">
      <c r="Z169" s="35"/>
      <c r="AA169" s="30"/>
      <c r="AB169" s="31"/>
    </row>
    <row r="170" spans="26:28" ht="18.75" customHeight="1" x14ac:dyDescent="0.25">
      <c r="Z170" s="35"/>
      <c r="AA170" s="30"/>
      <c r="AB170" s="31"/>
    </row>
    <row r="171" spans="26:28" ht="18.75" customHeight="1" x14ac:dyDescent="0.25">
      <c r="Z171" s="35"/>
      <c r="AA171" s="30"/>
      <c r="AB171" s="31"/>
    </row>
    <row r="172" spans="26:28" ht="18.75" customHeight="1" x14ac:dyDescent="0.25">
      <c r="Z172" s="35"/>
      <c r="AA172" s="30"/>
      <c r="AB172" s="31"/>
    </row>
    <row r="173" spans="26:28" ht="18.75" customHeight="1" x14ac:dyDescent="0.25">
      <c r="Z173" s="35"/>
      <c r="AA173" s="30"/>
      <c r="AB173" s="31"/>
    </row>
    <row r="174" spans="26:28" ht="18.75" customHeight="1" x14ac:dyDescent="0.25">
      <c r="Z174" s="35"/>
      <c r="AA174" s="30"/>
      <c r="AB174" s="31"/>
    </row>
    <row r="175" spans="26:28" ht="18.75" customHeight="1" x14ac:dyDescent="0.25">
      <c r="Z175" s="35"/>
      <c r="AA175" s="30"/>
      <c r="AB175" s="31"/>
    </row>
    <row r="176" spans="26:28" ht="18.75" customHeight="1" x14ac:dyDescent="0.25">
      <c r="Z176" s="35"/>
      <c r="AA176" s="30"/>
      <c r="AB176" s="31"/>
    </row>
    <row r="177" spans="26:28" ht="18.75" customHeight="1" x14ac:dyDescent="0.25">
      <c r="Z177" s="35"/>
      <c r="AA177" s="30"/>
      <c r="AB177" s="31"/>
    </row>
    <row r="178" spans="26:28" ht="18.75" customHeight="1" x14ac:dyDescent="0.25">
      <c r="Z178" s="35"/>
      <c r="AA178" s="30"/>
      <c r="AB178" s="31"/>
    </row>
    <row r="179" spans="26:28" ht="18.75" customHeight="1" x14ac:dyDescent="0.25">
      <c r="Z179" s="35"/>
      <c r="AA179" s="30"/>
      <c r="AB179" s="31"/>
    </row>
    <row r="180" spans="26:28" ht="18.75" customHeight="1" x14ac:dyDescent="0.25">
      <c r="Z180" s="35"/>
      <c r="AA180" s="30"/>
      <c r="AB180" s="31"/>
    </row>
    <row r="181" spans="26:28" ht="18.75" customHeight="1" x14ac:dyDescent="0.25">
      <c r="Z181" s="35"/>
      <c r="AA181" s="30"/>
      <c r="AB181" s="31"/>
    </row>
    <row r="182" spans="26:28" ht="18.75" customHeight="1" x14ac:dyDescent="0.25">
      <c r="Z182" s="35"/>
      <c r="AA182" s="30"/>
      <c r="AB182" s="31"/>
    </row>
    <row r="183" spans="26:28" ht="18.75" customHeight="1" x14ac:dyDescent="0.25">
      <c r="Z183" s="35"/>
      <c r="AA183" s="30"/>
      <c r="AB183" s="31"/>
    </row>
    <row r="184" spans="26:28" ht="18.75" customHeight="1" x14ac:dyDescent="0.25">
      <c r="Z184" s="35"/>
      <c r="AA184" s="30"/>
      <c r="AB184" s="31"/>
    </row>
    <row r="185" spans="26:28" ht="18.75" customHeight="1" x14ac:dyDescent="0.25">
      <c r="Z185" s="35"/>
      <c r="AA185" s="30"/>
      <c r="AB185" s="31"/>
    </row>
    <row r="186" spans="26:28" ht="18.75" customHeight="1" x14ac:dyDescent="0.25">
      <c r="Z186" s="35"/>
      <c r="AA186" s="30"/>
      <c r="AB186" s="31"/>
    </row>
    <row r="187" spans="26:28" ht="18.75" customHeight="1" x14ac:dyDescent="0.25">
      <c r="Z187" s="35"/>
      <c r="AA187" s="30"/>
      <c r="AB187" s="31"/>
    </row>
    <row r="188" spans="26:28" ht="18.75" customHeight="1" x14ac:dyDescent="0.25">
      <c r="Z188" s="35"/>
      <c r="AA188" s="30"/>
      <c r="AB188" s="31"/>
    </row>
    <row r="189" spans="26:28" ht="18.75" customHeight="1" x14ac:dyDescent="0.25">
      <c r="Z189" s="35"/>
      <c r="AA189" s="30"/>
      <c r="AB189" s="31"/>
    </row>
    <row r="190" spans="26:28" ht="18.75" customHeight="1" x14ac:dyDescent="0.25">
      <c r="Z190" s="35"/>
      <c r="AA190" s="30"/>
      <c r="AB190" s="31"/>
    </row>
    <row r="191" spans="26:28" ht="18.75" customHeight="1" x14ac:dyDescent="0.25">
      <c r="Z191" s="35"/>
      <c r="AA191" s="30"/>
      <c r="AB191" s="31"/>
    </row>
    <row r="192" spans="26:28" ht="18.75" customHeight="1" x14ac:dyDescent="0.25">
      <c r="Z192" s="35"/>
      <c r="AA192" s="30"/>
      <c r="AB192" s="31"/>
    </row>
    <row r="193" spans="26:28" ht="18.75" customHeight="1" x14ac:dyDescent="0.25">
      <c r="Z193" s="35"/>
      <c r="AA193" s="30"/>
      <c r="AB193" s="31"/>
    </row>
    <row r="194" spans="26:28" ht="18.75" customHeight="1" x14ac:dyDescent="0.25">
      <c r="Z194" s="35"/>
      <c r="AA194" s="30"/>
      <c r="AB194" s="31"/>
    </row>
    <row r="195" spans="26:28" ht="18.75" customHeight="1" x14ac:dyDescent="0.25">
      <c r="Z195" s="35"/>
      <c r="AA195" s="30"/>
      <c r="AB195" s="31"/>
    </row>
    <row r="196" spans="26:28" ht="18.75" customHeight="1" x14ac:dyDescent="0.25">
      <c r="Z196" s="35"/>
      <c r="AA196" s="30"/>
      <c r="AB196" s="31"/>
    </row>
    <row r="197" spans="26:28" ht="18.75" customHeight="1" x14ac:dyDescent="0.25">
      <c r="Z197" s="35"/>
      <c r="AA197" s="30"/>
      <c r="AB197" s="31"/>
    </row>
    <row r="198" spans="26:28" ht="18.75" customHeight="1" x14ac:dyDescent="0.25">
      <c r="Z198" s="35"/>
      <c r="AA198" s="30"/>
      <c r="AB198" s="31"/>
    </row>
    <row r="199" spans="26:28" ht="18.75" customHeight="1" x14ac:dyDescent="0.25">
      <c r="Z199" s="35"/>
      <c r="AA199" s="30"/>
      <c r="AB199" s="31"/>
    </row>
    <row r="200" spans="26:28" ht="18.75" customHeight="1" x14ac:dyDescent="0.25">
      <c r="Z200" s="35"/>
      <c r="AA200" s="30"/>
      <c r="AB200" s="31"/>
    </row>
    <row r="201" spans="26:28" ht="18.75" customHeight="1" x14ac:dyDescent="0.25">
      <c r="Z201" s="35"/>
      <c r="AA201" s="30"/>
      <c r="AB201" s="31"/>
    </row>
    <row r="202" spans="26:28" ht="18.75" customHeight="1" x14ac:dyDescent="0.25">
      <c r="Z202" s="35"/>
      <c r="AA202" s="30"/>
      <c r="AB202" s="31"/>
    </row>
    <row r="203" spans="26:28" ht="18.75" customHeight="1" x14ac:dyDescent="0.25">
      <c r="Z203" s="35"/>
      <c r="AA203" s="30"/>
      <c r="AB203" s="31"/>
    </row>
    <row r="204" spans="26:28" ht="18.75" customHeight="1" x14ac:dyDescent="0.25">
      <c r="Z204" s="35"/>
      <c r="AA204" s="30"/>
      <c r="AB204" s="31"/>
    </row>
    <row r="205" spans="26:28" ht="18.75" customHeight="1" x14ac:dyDescent="0.25">
      <c r="Z205" s="35"/>
      <c r="AA205" s="30"/>
      <c r="AB205" s="31"/>
    </row>
    <row r="206" spans="26:28" ht="18.75" customHeight="1" x14ac:dyDescent="0.25">
      <c r="Z206" s="35"/>
      <c r="AA206" s="30"/>
      <c r="AB206" s="31"/>
    </row>
    <row r="207" spans="26:28" ht="18.75" customHeight="1" x14ac:dyDescent="0.25">
      <c r="Z207" s="35"/>
      <c r="AA207" s="30"/>
      <c r="AB207" s="31"/>
    </row>
    <row r="208" spans="26:28" ht="18.75" customHeight="1" x14ac:dyDescent="0.25">
      <c r="Z208" s="35"/>
      <c r="AA208" s="30"/>
      <c r="AB208" s="31"/>
    </row>
    <row r="209" spans="26:28" ht="18.75" customHeight="1" x14ac:dyDescent="0.25">
      <c r="Z209" s="35"/>
      <c r="AA209" s="30"/>
      <c r="AB209" s="31"/>
    </row>
    <row r="210" spans="26:28" ht="18.75" customHeight="1" x14ac:dyDescent="0.25">
      <c r="Z210" s="35"/>
      <c r="AA210" s="30"/>
      <c r="AB210" s="31"/>
    </row>
    <row r="211" spans="26:28" ht="18.75" customHeight="1" x14ac:dyDescent="0.25">
      <c r="Z211" s="35"/>
      <c r="AA211" s="30"/>
      <c r="AB211" s="31"/>
    </row>
    <row r="212" spans="26:28" ht="18.75" customHeight="1" x14ac:dyDescent="0.25">
      <c r="Z212" s="35"/>
      <c r="AA212" s="30"/>
      <c r="AB212" s="31"/>
    </row>
    <row r="213" spans="26:28" ht="18.75" customHeight="1" x14ac:dyDescent="0.25">
      <c r="Z213" s="35"/>
      <c r="AA213" s="30"/>
      <c r="AB213" s="31"/>
    </row>
    <row r="214" spans="26:28" ht="18.75" customHeight="1" x14ac:dyDescent="0.25">
      <c r="Z214" s="35"/>
      <c r="AA214" s="30"/>
      <c r="AB214" s="31"/>
    </row>
    <row r="215" spans="26:28" ht="18.75" customHeight="1" x14ac:dyDescent="0.25">
      <c r="Z215" s="35"/>
      <c r="AA215" s="30"/>
      <c r="AB215" s="31"/>
    </row>
    <row r="216" spans="26:28" ht="18.75" customHeight="1" x14ac:dyDescent="0.25">
      <c r="Z216" s="35"/>
      <c r="AA216" s="30"/>
      <c r="AB216" s="31"/>
    </row>
    <row r="217" spans="26:28" ht="18.75" customHeight="1" x14ac:dyDescent="0.25">
      <c r="Z217" s="35"/>
      <c r="AA217" s="30"/>
      <c r="AB217" s="31"/>
    </row>
    <row r="218" spans="26:28" ht="18.75" customHeight="1" x14ac:dyDescent="0.25">
      <c r="Z218" s="35"/>
      <c r="AA218" s="30"/>
      <c r="AB218" s="31"/>
    </row>
    <row r="219" spans="26:28" ht="18.75" customHeight="1" x14ac:dyDescent="0.25">
      <c r="Z219" s="35"/>
      <c r="AA219" s="30"/>
      <c r="AB219" s="31"/>
    </row>
    <row r="220" spans="26:28" ht="18.75" customHeight="1" x14ac:dyDescent="0.25">
      <c r="Z220" s="35"/>
      <c r="AA220" s="30"/>
      <c r="AB220" s="31"/>
    </row>
    <row r="221" spans="26:28" ht="18.75" customHeight="1" x14ac:dyDescent="0.25">
      <c r="Z221" s="35"/>
      <c r="AA221" s="30"/>
      <c r="AB221" s="31"/>
    </row>
    <row r="222" spans="26:28" ht="18.75" customHeight="1" x14ac:dyDescent="0.25">
      <c r="Z222" s="35"/>
      <c r="AA222" s="30"/>
      <c r="AB222" s="31"/>
    </row>
    <row r="223" spans="26:28" ht="18.75" customHeight="1" x14ac:dyDescent="0.25">
      <c r="Z223" s="35"/>
      <c r="AA223" s="30"/>
      <c r="AB223" s="31"/>
    </row>
    <row r="224" spans="26:28" ht="18.75" customHeight="1" x14ac:dyDescent="0.25">
      <c r="Z224" s="35"/>
      <c r="AA224" s="30"/>
      <c r="AB224" s="31"/>
    </row>
    <row r="225" spans="26:28" ht="18.75" customHeight="1" x14ac:dyDescent="0.25">
      <c r="Z225" s="35"/>
      <c r="AA225" s="30"/>
      <c r="AB225" s="31"/>
    </row>
    <row r="226" spans="26:28" ht="18.75" customHeight="1" x14ac:dyDescent="0.25">
      <c r="Z226" s="35"/>
      <c r="AA226" s="30"/>
      <c r="AB226" s="31"/>
    </row>
    <row r="227" spans="26:28" ht="18.75" customHeight="1" x14ac:dyDescent="0.25">
      <c r="Z227" s="35"/>
      <c r="AA227" s="30"/>
      <c r="AB227" s="31"/>
    </row>
    <row r="228" spans="26:28" ht="18.75" customHeight="1" x14ac:dyDescent="0.25">
      <c r="Z228" s="35"/>
      <c r="AA228" s="30"/>
      <c r="AB228" s="31"/>
    </row>
    <row r="229" spans="26:28" ht="18.75" customHeight="1" x14ac:dyDescent="0.25">
      <c r="Z229" s="35"/>
      <c r="AA229" s="30"/>
      <c r="AB229" s="31"/>
    </row>
    <row r="230" spans="26:28" ht="18.75" customHeight="1" x14ac:dyDescent="0.25">
      <c r="Z230" s="35"/>
      <c r="AA230" s="30"/>
      <c r="AB230" s="31"/>
    </row>
    <row r="231" spans="26:28" ht="18.75" customHeight="1" x14ac:dyDescent="0.25">
      <c r="Z231" s="35"/>
      <c r="AA231" s="30"/>
      <c r="AB231" s="31"/>
    </row>
    <row r="232" spans="26:28" ht="18.75" customHeight="1" x14ac:dyDescent="0.25">
      <c r="Z232" s="35"/>
      <c r="AA232" s="30"/>
      <c r="AB232" s="31"/>
    </row>
    <row r="233" spans="26:28" ht="18.75" customHeight="1" x14ac:dyDescent="0.25">
      <c r="Z233" s="35"/>
      <c r="AA233" s="30"/>
      <c r="AB233" s="31"/>
    </row>
    <row r="234" spans="26:28" ht="18.75" customHeight="1" x14ac:dyDescent="0.25">
      <c r="Z234" s="35"/>
      <c r="AA234" s="30"/>
      <c r="AB234" s="31"/>
    </row>
    <row r="235" spans="26:28" ht="18.75" customHeight="1" x14ac:dyDescent="0.25">
      <c r="Z235" s="35"/>
      <c r="AA235" s="30"/>
      <c r="AB235" s="31"/>
    </row>
    <row r="236" spans="26:28" ht="18.75" customHeight="1" x14ac:dyDescent="0.25">
      <c r="Z236" s="35"/>
      <c r="AA236" s="30"/>
      <c r="AB236" s="31"/>
    </row>
    <row r="237" spans="26:28" ht="18.75" customHeight="1" x14ac:dyDescent="0.25">
      <c r="Z237" s="35"/>
      <c r="AA237" s="30"/>
      <c r="AB237" s="31"/>
    </row>
    <row r="238" spans="26:28" ht="18.75" customHeight="1" x14ac:dyDescent="0.25">
      <c r="Z238" s="35"/>
      <c r="AA238" s="30"/>
      <c r="AB238" s="31"/>
    </row>
    <row r="239" spans="26:28" ht="18.75" customHeight="1" x14ac:dyDescent="0.25">
      <c r="Z239" s="35"/>
      <c r="AA239" s="30"/>
      <c r="AB239" s="31"/>
    </row>
    <row r="240" spans="26:28" ht="18.75" customHeight="1" x14ac:dyDescent="0.25">
      <c r="Z240" s="35"/>
      <c r="AA240" s="30"/>
      <c r="AB240" s="31"/>
    </row>
    <row r="241" spans="26:28" ht="18.75" customHeight="1" x14ac:dyDescent="0.25">
      <c r="Z241" s="35"/>
      <c r="AA241" s="30"/>
      <c r="AB241" s="31"/>
    </row>
    <row r="242" spans="26:28" ht="18.75" customHeight="1" x14ac:dyDescent="0.25">
      <c r="Z242" s="35"/>
      <c r="AA242" s="30"/>
      <c r="AB242" s="31"/>
    </row>
    <row r="243" spans="26:28" ht="18.75" customHeight="1" x14ac:dyDescent="0.25">
      <c r="Z243" s="35"/>
      <c r="AA243" s="30"/>
      <c r="AB243" s="31"/>
    </row>
    <row r="244" spans="26:28" ht="18.75" customHeight="1" x14ac:dyDescent="0.25">
      <c r="Z244" s="35"/>
      <c r="AA244" s="30"/>
      <c r="AB244" s="31"/>
    </row>
    <row r="245" spans="26:28" ht="18.75" customHeight="1" x14ac:dyDescent="0.25">
      <c r="Z245" s="35"/>
      <c r="AA245" s="30"/>
      <c r="AB245" s="31"/>
    </row>
    <row r="246" spans="26:28" ht="18.75" customHeight="1" x14ac:dyDescent="0.25">
      <c r="Z246" s="35"/>
      <c r="AA246" s="30"/>
      <c r="AB246" s="31"/>
    </row>
    <row r="247" spans="26:28" ht="18.75" customHeight="1" x14ac:dyDescent="0.25">
      <c r="Z247" s="35"/>
      <c r="AA247" s="30"/>
      <c r="AB247" s="31"/>
    </row>
    <row r="248" spans="26:28" ht="18.75" customHeight="1" x14ac:dyDescent="0.25">
      <c r="Z248" s="35"/>
      <c r="AA248" s="30"/>
      <c r="AB248" s="31"/>
    </row>
    <row r="249" spans="26:28" ht="18.75" customHeight="1" x14ac:dyDescent="0.25">
      <c r="Z249" s="35"/>
      <c r="AA249" s="30"/>
      <c r="AB249" s="31"/>
    </row>
    <row r="250" spans="26:28" ht="18.75" customHeight="1" x14ac:dyDescent="0.25">
      <c r="Z250" s="35"/>
      <c r="AA250" s="30"/>
      <c r="AB250" s="31"/>
    </row>
    <row r="251" spans="26:28" ht="18.75" customHeight="1" x14ac:dyDescent="0.25">
      <c r="Z251" s="35"/>
      <c r="AA251" s="30"/>
      <c r="AB251" s="31"/>
    </row>
    <row r="252" spans="26:28" ht="18.75" customHeight="1" x14ac:dyDescent="0.25">
      <c r="Z252" s="35"/>
      <c r="AA252" s="30"/>
      <c r="AB252" s="31"/>
    </row>
    <row r="253" spans="26:28" ht="18.75" customHeight="1" x14ac:dyDescent="0.25">
      <c r="Z253" s="35"/>
      <c r="AA253" s="30"/>
      <c r="AB253" s="31"/>
    </row>
    <row r="254" spans="26:28" ht="18.75" customHeight="1" x14ac:dyDescent="0.25">
      <c r="Z254" s="35"/>
      <c r="AA254" s="30"/>
      <c r="AB254" s="31"/>
    </row>
    <row r="255" spans="26:28" ht="18.75" customHeight="1" x14ac:dyDescent="0.25">
      <c r="Z255" s="35"/>
      <c r="AA255" s="30"/>
      <c r="AB255" s="31"/>
    </row>
    <row r="256" spans="26:28" ht="18.75" customHeight="1" x14ac:dyDescent="0.25">
      <c r="Z256" s="35"/>
      <c r="AA256" s="30"/>
      <c r="AB256" s="31"/>
    </row>
    <row r="257" spans="26:28" ht="18.75" customHeight="1" x14ac:dyDescent="0.25">
      <c r="Z257" s="35"/>
      <c r="AA257" s="30"/>
      <c r="AB257" s="31"/>
    </row>
    <row r="258" spans="26:28" ht="18.75" customHeight="1" x14ac:dyDescent="0.25">
      <c r="Z258" s="35"/>
      <c r="AA258" s="30"/>
      <c r="AB258" s="31"/>
    </row>
    <row r="259" spans="26:28" ht="18.75" customHeight="1" x14ac:dyDescent="0.25">
      <c r="Z259" s="35"/>
      <c r="AA259" s="30"/>
      <c r="AB259" s="31"/>
    </row>
    <row r="260" spans="26:28" ht="18.75" customHeight="1" x14ac:dyDescent="0.25">
      <c r="Z260" s="35"/>
      <c r="AA260" s="30"/>
      <c r="AB260" s="31"/>
    </row>
    <row r="261" spans="26:28" ht="18.75" customHeight="1" x14ac:dyDescent="0.25">
      <c r="Z261" s="35"/>
      <c r="AA261" s="30"/>
      <c r="AB261" s="31"/>
    </row>
    <row r="262" spans="26:28" ht="18.75" customHeight="1" x14ac:dyDescent="0.25">
      <c r="Z262" s="35"/>
      <c r="AA262" s="30"/>
      <c r="AB262" s="31"/>
    </row>
    <row r="263" spans="26:28" ht="18.75" customHeight="1" x14ac:dyDescent="0.25">
      <c r="Z263" s="35"/>
      <c r="AA263" s="30"/>
      <c r="AB263" s="31"/>
    </row>
    <row r="264" spans="26:28" ht="18.75" customHeight="1" x14ac:dyDescent="0.25">
      <c r="Z264" s="35"/>
      <c r="AA264" s="30"/>
      <c r="AB264" s="31"/>
    </row>
    <row r="265" spans="26:28" ht="18.75" customHeight="1" x14ac:dyDescent="0.25">
      <c r="Z265" s="35"/>
      <c r="AA265" s="30"/>
      <c r="AB265" s="31"/>
    </row>
    <row r="266" spans="26:28" ht="18.75" customHeight="1" x14ac:dyDescent="0.25">
      <c r="Z266" s="35"/>
      <c r="AA266" s="30"/>
      <c r="AB266" s="31"/>
    </row>
    <row r="267" spans="26:28" ht="18.75" customHeight="1" x14ac:dyDescent="0.25">
      <c r="Z267" s="35"/>
      <c r="AA267" s="30"/>
      <c r="AB267" s="31"/>
    </row>
    <row r="268" spans="26:28" ht="18.75" customHeight="1" x14ac:dyDescent="0.25">
      <c r="Z268" s="35"/>
      <c r="AA268" s="30"/>
      <c r="AB268" s="31"/>
    </row>
    <row r="269" spans="26:28" ht="18.75" customHeight="1" x14ac:dyDescent="0.25">
      <c r="Z269" s="35"/>
      <c r="AA269" s="30"/>
      <c r="AB269" s="31"/>
    </row>
    <row r="270" spans="26:28" ht="18.75" customHeight="1" x14ac:dyDescent="0.25">
      <c r="Z270" s="35"/>
      <c r="AA270" s="30"/>
      <c r="AB270" s="31"/>
    </row>
    <row r="271" spans="26:28" ht="18.75" customHeight="1" x14ac:dyDescent="0.25">
      <c r="Z271" s="35"/>
      <c r="AA271" s="30"/>
      <c r="AB271" s="31"/>
    </row>
    <row r="272" spans="26:28" ht="18.75" customHeight="1" x14ac:dyDescent="0.25">
      <c r="Z272" s="35"/>
      <c r="AA272" s="30"/>
      <c r="AB272" s="31"/>
    </row>
    <row r="273" spans="26:28" ht="18.75" customHeight="1" x14ac:dyDescent="0.25">
      <c r="Z273" s="35"/>
      <c r="AA273" s="30"/>
      <c r="AB273" s="31"/>
    </row>
    <row r="274" spans="26:28" ht="18.75" customHeight="1" x14ac:dyDescent="0.25">
      <c r="Z274" s="35"/>
      <c r="AA274" s="30"/>
      <c r="AB274" s="31"/>
    </row>
    <row r="275" spans="26:28" ht="18.75" customHeight="1" x14ac:dyDescent="0.25">
      <c r="Z275" s="35"/>
      <c r="AA275" s="30"/>
      <c r="AB275" s="31"/>
    </row>
    <row r="276" spans="26:28" ht="18.75" customHeight="1" x14ac:dyDescent="0.25">
      <c r="Z276" s="35"/>
      <c r="AA276" s="30"/>
      <c r="AB276" s="31"/>
    </row>
    <row r="277" spans="26:28" ht="18.75" customHeight="1" x14ac:dyDescent="0.25">
      <c r="Z277" s="35"/>
      <c r="AA277" s="30"/>
      <c r="AB277" s="31"/>
    </row>
    <row r="278" spans="26:28" ht="18.75" customHeight="1" x14ac:dyDescent="0.25">
      <c r="Z278" s="35"/>
      <c r="AA278" s="30"/>
      <c r="AB278" s="31"/>
    </row>
    <row r="279" spans="26:28" ht="18.75" customHeight="1" x14ac:dyDescent="0.25">
      <c r="Z279" s="35"/>
      <c r="AA279" s="30"/>
      <c r="AB279" s="31"/>
    </row>
    <row r="280" spans="26:28" ht="18.75" customHeight="1" x14ac:dyDescent="0.25">
      <c r="Z280" s="35"/>
      <c r="AA280" s="30"/>
      <c r="AB280" s="31"/>
    </row>
    <row r="281" spans="26:28" ht="18.75" customHeight="1" x14ac:dyDescent="0.25">
      <c r="Z281" s="35"/>
      <c r="AA281" s="30"/>
      <c r="AB281" s="31"/>
    </row>
    <row r="282" spans="26:28" ht="18.75" customHeight="1" x14ac:dyDescent="0.25">
      <c r="Z282" s="35"/>
      <c r="AA282" s="30"/>
      <c r="AB282" s="31"/>
    </row>
    <row r="283" spans="26:28" ht="18.75" customHeight="1" x14ac:dyDescent="0.25">
      <c r="Z283" s="35"/>
      <c r="AA283" s="30"/>
      <c r="AB283" s="31"/>
    </row>
    <row r="284" spans="26:28" ht="18.75" customHeight="1" x14ac:dyDescent="0.25">
      <c r="Z284" s="35"/>
      <c r="AA284" s="30"/>
      <c r="AB284" s="31"/>
    </row>
    <row r="285" spans="26:28" ht="18.75" customHeight="1" x14ac:dyDescent="0.25">
      <c r="Z285" s="35"/>
      <c r="AA285" s="30"/>
      <c r="AB285" s="31"/>
    </row>
    <row r="286" spans="26:28" ht="18.75" customHeight="1" x14ac:dyDescent="0.25">
      <c r="Z286" s="35"/>
      <c r="AA286" s="30"/>
      <c r="AB286" s="31"/>
    </row>
    <row r="287" spans="26:28" ht="18.75" customHeight="1" x14ac:dyDescent="0.25">
      <c r="Z287" s="35"/>
      <c r="AA287" s="30"/>
      <c r="AB287" s="31"/>
    </row>
    <row r="288" spans="26:28" ht="18.75" customHeight="1" x14ac:dyDescent="0.25">
      <c r="Z288" s="35"/>
      <c r="AA288" s="30"/>
      <c r="AB288" s="31"/>
    </row>
    <row r="289" spans="26:28" ht="18.75" customHeight="1" x14ac:dyDescent="0.25">
      <c r="Z289" s="35"/>
      <c r="AA289" s="30"/>
      <c r="AB289" s="31"/>
    </row>
    <row r="290" spans="26:28" ht="18.75" customHeight="1" x14ac:dyDescent="0.25">
      <c r="Z290" s="35"/>
      <c r="AA290" s="30"/>
      <c r="AB290" s="31"/>
    </row>
    <row r="291" spans="26:28" ht="18.75" customHeight="1" x14ac:dyDescent="0.25">
      <c r="Z291" s="35"/>
      <c r="AA291" s="30"/>
      <c r="AB291" s="31"/>
    </row>
    <row r="292" spans="26:28" ht="18.75" customHeight="1" x14ac:dyDescent="0.25">
      <c r="Z292" s="35"/>
      <c r="AA292" s="30"/>
      <c r="AB292" s="31"/>
    </row>
    <row r="293" spans="26:28" ht="18.75" customHeight="1" x14ac:dyDescent="0.25">
      <c r="Z293" s="35"/>
      <c r="AA293" s="30"/>
      <c r="AB293" s="31"/>
    </row>
    <row r="294" spans="26:28" ht="18.75" customHeight="1" x14ac:dyDescent="0.25">
      <c r="Z294" s="35"/>
      <c r="AA294" s="30"/>
      <c r="AB294" s="31"/>
    </row>
    <row r="295" spans="26:28" ht="18.75" customHeight="1" x14ac:dyDescent="0.25">
      <c r="Z295" s="35"/>
      <c r="AA295" s="30"/>
      <c r="AB295" s="31"/>
    </row>
    <row r="296" spans="26:28" ht="18.75" customHeight="1" x14ac:dyDescent="0.25">
      <c r="Z296" s="35"/>
      <c r="AA296" s="30"/>
      <c r="AB296" s="31"/>
    </row>
    <row r="297" spans="26:28" ht="18.75" customHeight="1" x14ac:dyDescent="0.25">
      <c r="Z297" s="35"/>
      <c r="AA297" s="30"/>
      <c r="AB297" s="31"/>
    </row>
    <row r="298" spans="26:28" ht="18.75" customHeight="1" x14ac:dyDescent="0.25">
      <c r="Z298" s="35"/>
      <c r="AA298" s="30"/>
      <c r="AB298" s="31"/>
    </row>
    <row r="299" spans="26:28" ht="18.75" customHeight="1" x14ac:dyDescent="0.25">
      <c r="Z299" s="35"/>
      <c r="AA299" s="30"/>
      <c r="AB299" s="31"/>
    </row>
    <row r="300" spans="26:28" ht="18.75" customHeight="1" x14ac:dyDescent="0.25">
      <c r="Z300" s="35"/>
      <c r="AA300" s="30"/>
      <c r="AB300" s="31"/>
    </row>
    <row r="301" spans="26:28" ht="18.75" customHeight="1" x14ac:dyDescent="0.25">
      <c r="Z301" s="35"/>
      <c r="AA301" s="30"/>
      <c r="AB301" s="31"/>
    </row>
    <row r="302" spans="26:28" ht="18.75" customHeight="1" x14ac:dyDescent="0.25">
      <c r="Z302" s="35"/>
      <c r="AA302" s="30"/>
      <c r="AB302" s="31"/>
    </row>
    <row r="303" spans="26:28" ht="18.75" customHeight="1" x14ac:dyDescent="0.25">
      <c r="Z303" s="35"/>
      <c r="AA303" s="30"/>
      <c r="AB303" s="31"/>
    </row>
    <row r="304" spans="26:28" ht="18.75" customHeight="1" x14ac:dyDescent="0.25">
      <c r="Z304" s="35"/>
      <c r="AA304" s="30"/>
      <c r="AB304" s="31"/>
    </row>
    <row r="305" spans="26:28" ht="18.75" customHeight="1" x14ac:dyDescent="0.25">
      <c r="Z305" s="35"/>
      <c r="AA305" s="30"/>
      <c r="AB305" s="31"/>
    </row>
    <row r="306" spans="26:28" ht="18.75" customHeight="1" x14ac:dyDescent="0.25">
      <c r="Z306" s="35"/>
      <c r="AA306" s="30"/>
      <c r="AB306" s="31"/>
    </row>
    <row r="307" spans="26:28" ht="18.75" customHeight="1" x14ac:dyDescent="0.25">
      <c r="Z307" s="35"/>
      <c r="AA307" s="30"/>
      <c r="AB307" s="31"/>
    </row>
    <row r="308" spans="26:28" ht="18.75" customHeight="1" x14ac:dyDescent="0.25">
      <c r="Z308" s="35"/>
      <c r="AA308" s="30"/>
      <c r="AB308" s="31"/>
    </row>
    <row r="309" spans="26:28" ht="18.75" customHeight="1" x14ac:dyDescent="0.25">
      <c r="Z309" s="35"/>
      <c r="AA309" s="30"/>
      <c r="AB309" s="31"/>
    </row>
    <row r="310" spans="26:28" ht="18.75" customHeight="1" x14ac:dyDescent="0.25">
      <c r="Z310" s="35"/>
      <c r="AA310" s="30"/>
      <c r="AB310" s="31"/>
    </row>
    <row r="311" spans="26:28" ht="18.75" customHeight="1" x14ac:dyDescent="0.25">
      <c r="Z311" s="35"/>
      <c r="AA311" s="30"/>
      <c r="AB311" s="31"/>
    </row>
    <row r="312" spans="26:28" ht="18.75" customHeight="1" x14ac:dyDescent="0.25">
      <c r="Z312" s="35"/>
      <c r="AA312" s="30"/>
      <c r="AB312" s="31"/>
    </row>
    <row r="313" spans="26:28" ht="18.75" customHeight="1" x14ac:dyDescent="0.25">
      <c r="Z313" s="35"/>
      <c r="AA313" s="30"/>
      <c r="AB313" s="31"/>
    </row>
    <row r="314" spans="26:28" ht="18.75" customHeight="1" x14ac:dyDescent="0.25">
      <c r="Z314" s="35"/>
      <c r="AA314" s="30"/>
      <c r="AB314" s="31"/>
    </row>
    <row r="315" spans="26:28" ht="18.75" customHeight="1" x14ac:dyDescent="0.25">
      <c r="Z315" s="35"/>
      <c r="AA315" s="30"/>
      <c r="AB315" s="31"/>
    </row>
    <row r="316" spans="26:28" ht="18.75" customHeight="1" x14ac:dyDescent="0.25">
      <c r="Z316" s="35"/>
      <c r="AA316" s="30"/>
      <c r="AB316" s="31"/>
    </row>
    <row r="317" spans="26:28" ht="18.75" customHeight="1" x14ac:dyDescent="0.25">
      <c r="Z317" s="35"/>
      <c r="AA317" s="30"/>
      <c r="AB317" s="31"/>
    </row>
    <row r="318" spans="26:28" ht="18.75" customHeight="1" x14ac:dyDescent="0.25">
      <c r="Z318" s="35"/>
      <c r="AA318" s="30"/>
      <c r="AB318" s="31"/>
    </row>
    <row r="319" spans="26:28" ht="18.75" customHeight="1" x14ac:dyDescent="0.25">
      <c r="Z319" s="35"/>
      <c r="AA319" s="30"/>
      <c r="AB319" s="31"/>
    </row>
    <row r="320" spans="26:28" ht="18.75" customHeight="1" x14ac:dyDescent="0.25">
      <c r="Z320" s="35"/>
      <c r="AA320" s="30"/>
      <c r="AB320" s="31"/>
    </row>
    <row r="321" spans="26:28" ht="18.75" customHeight="1" x14ac:dyDescent="0.25">
      <c r="Z321" s="35"/>
      <c r="AA321" s="30"/>
      <c r="AB321" s="31"/>
    </row>
    <row r="322" spans="26:28" ht="18.75" customHeight="1" x14ac:dyDescent="0.25">
      <c r="Z322" s="35"/>
      <c r="AA322" s="30"/>
      <c r="AB322" s="31"/>
    </row>
    <row r="323" spans="26:28" ht="18.75" customHeight="1" x14ac:dyDescent="0.25">
      <c r="Z323" s="35"/>
      <c r="AA323" s="30"/>
      <c r="AB323" s="31"/>
    </row>
    <row r="324" spans="26:28" ht="18.75" customHeight="1" x14ac:dyDescent="0.25">
      <c r="Z324" s="35"/>
      <c r="AA324" s="30"/>
      <c r="AB324" s="31"/>
    </row>
    <row r="325" spans="26:28" ht="18.75" customHeight="1" x14ac:dyDescent="0.25">
      <c r="Z325" s="35"/>
      <c r="AA325" s="30"/>
      <c r="AB325" s="31"/>
    </row>
    <row r="326" spans="26:28" ht="18.75" customHeight="1" x14ac:dyDescent="0.25">
      <c r="Z326" s="35"/>
      <c r="AA326" s="30"/>
      <c r="AB326" s="31"/>
    </row>
    <row r="327" spans="26:28" ht="18.75" customHeight="1" x14ac:dyDescent="0.25">
      <c r="Z327" s="35"/>
      <c r="AA327" s="30"/>
      <c r="AB327" s="31"/>
    </row>
    <row r="328" spans="26:28" ht="18.75" customHeight="1" x14ac:dyDescent="0.25">
      <c r="Z328" s="35"/>
      <c r="AA328" s="30"/>
      <c r="AB328" s="31"/>
    </row>
    <row r="329" spans="26:28" ht="18.75" customHeight="1" x14ac:dyDescent="0.25">
      <c r="Z329" s="35"/>
      <c r="AA329" s="30"/>
      <c r="AB329" s="31"/>
    </row>
    <row r="330" spans="26:28" ht="18.75" customHeight="1" x14ac:dyDescent="0.25">
      <c r="Z330" s="35"/>
      <c r="AA330" s="30"/>
      <c r="AB330" s="31"/>
    </row>
    <row r="331" spans="26:28" ht="18.75" customHeight="1" x14ac:dyDescent="0.25">
      <c r="Z331" s="35"/>
      <c r="AA331" s="30"/>
      <c r="AB331" s="31"/>
    </row>
    <row r="332" spans="26:28" ht="18.75" customHeight="1" x14ac:dyDescent="0.25">
      <c r="Z332" s="35"/>
      <c r="AA332" s="30"/>
      <c r="AB332" s="31"/>
    </row>
    <row r="333" spans="26:28" ht="18.75" customHeight="1" x14ac:dyDescent="0.25">
      <c r="Z333" s="35"/>
      <c r="AA333" s="30"/>
      <c r="AB333" s="31"/>
    </row>
    <row r="334" spans="26:28" ht="18.75" customHeight="1" x14ac:dyDescent="0.25">
      <c r="Z334" s="35"/>
      <c r="AA334" s="30"/>
      <c r="AB334" s="31"/>
    </row>
    <row r="335" spans="26:28" ht="18.75" customHeight="1" x14ac:dyDescent="0.25">
      <c r="Z335" s="35"/>
      <c r="AA335" s="30"/>
      <c r="AB335" s="31"/>
    </row>
    <row r="336" spans="26:28" ht="18.75" customHeight="1" x14ac:dyDescent="0.25">
      <c r="Z336" s="35"/>
      <c r="AA336" s="30"/>
      <c r="AB336" s="31"/>
    </row>
    <row r="337" spans="26:28" ht="18.75" customHeight="1" x14ac:dyDescent="0.25">
      <c r="Z337" s="35"/>
      <c r="AA337" s="30"/>
      <c r="AB337" s="31"/>
    </row>
    <row r="338" spans="26:28" ht="18.75" customHeight="1" x14ac:dyDescent="0.25">
      <c r="Z338" s="35"/>
      <c r="AA338" s="30"/>
      <c r="AB338" s="31"/>
    </row>
    <row r="339" spans="26:28" ht="18.75" customHeight="1" x14ac:dyDescent="0.25">
      <c r="Z339" s="35"/>
      <c r="AA339" s="30"/>
      <c r="AB339" s="31"/>
    </row>
    <row r="340" spans="26:28" ht="18.75" customHeight="1" x14ac:dyDescent="0.25">
      <c r="Z340" s="35"/>
      <c r="AA340" s="30"/>
      <c r="AB340" s="31"/>
    </row>
    <row r="341" spans="26:28" ht="18.75" customHeight="1" x14ac:dyDescent="0.25">
      <c r="Z341" s="35"/>
      <c r="AA341" s="30"/>
      <c r="AB341" s="31"/>
    </row>
    <row r="342" spans="26:28" ht="18.75" customHeight="1" x14ac:dyDescent="0.25">
      <c r="Z342" s="35"/>
      <c r="AA342" s="30"/>
      <c r="AB342" s="31"/>
    </row>
    <row r="343" spans="26:28" ht="18.75" customHeight="1" x14ac:dyDescent="0.25">
      <c r="Z343" s="35"/>
      <c r="AA343" s="30"/>
      <c r="AB343" s="31"/>
    </row>
    <row r="344" spans="26:28" ht="18.75" customHeight="1" x14ac:dyDescent="0.25">
      <c r="Z344" s="35"/>
      <c r="AA344" s="30"/>
      <c r="AB344" s="31"/>
    </row>
    <row r="345" spans="26:28" ht="18.75" customHeight="1" x14ac:dyDescent="0.25">
      <c r="Z345" s="35"/>
      <c r="AA345" s="30"/>
      <c r="AB345" s="31"/>
    </row>
    <row r="346" spans="26:28" ht="18.75" customHeight="1" x14ac:dyDescent="0.25">
      <c r="Z346" s="35"/>
      <c r="AA346" s="30"/>
      <c r="AB346" s="31"/>
    </row>
    <row r="347" spans="26:28" ht="18.75" customHeight="1" x14ac:dyDescent="0.25">
      <c r="Z347" s="35"/>
      <c r="AA347" s="30"/>
      <c r="AB347" s="31"/>
    </row>
    <row r="348" spans="26:28" ht="18.75" customHeight="1" x14ac:dyDescent="0.25">
      <c r="Z348" s="35"/>
      <c r="AA348" s="30"/>
      <c r="AB348" s="31"/>
    </row>
    <row r="349" spans="26:28" ht="18.75" customHeight="1" x14ac:dyDescent="0.25">
      <c r="Z349" s="35"/>
      <c r="AA349" s="30"/>
      <c r="AB349" s="31"/>
    </row>
    <row r="350" spans="26:28" ht="18.75" customHeight="1" x14ac:dyDescent="0.25">
      <c r="Z350" s="35"/>
      <c r="AA350" s="30"/>
      <c r="AB350" s="31"/>
    </row>
    <row r="351" spans="26:28" ht="18.75" customHeight="1" x14ac:dyDescent="0.25">
      <c r="Z351" s="35"/>
      <c r="AA351" s="30"/>
      <c r="AB351" s="31"/>
    </row>
    <row r="352" spans="26:28" ht="18.75" customHeight="1" x14ac:dyDescent="0.25">
      <c r="Z352" s="35"/>
      <c r="AA352" s="30"/>
      <c r="AB352" s="31"/>
    </row>
    <row r="353" spans="26:28" ht="18.75" customHeight="1" x14ac:dyDescent="0.25">
      <c r="Z353" s="35"/>
      <c r="AA353" s="30"/>
      <c r="AB353" s="31"/>
    </row>
    <row r="354" spans="26:28" ht="18.75" customHeight="1" x14ac:dyDescent="0.25">
      <c r="Z354" s="35"/>
      <c r="AA354" s="30"/>
      <c r="AB354" s="31"/>
    </row>
    <row r="355" spans="26:28" ht="18.75" customHeight="1" x14ac:dyDescent="0.25">
      <c r="Z355" s="35"/>
      <c r="AA355" s="30"/>
      <c r="AB355" s="31"/>
    </row>
    <row r="356" spans="26:28" ht="18.75" customHeight="1" x14ac:dyDescent="0.25">
      <c r="Z356" s="35"/>
      <c r="AA356" s="30"/>
      <c r="AB356" s="31"/>
    </row>
    <row r="357" spans="26:28" ht="18.75" customHeight="1" x14ac:dyDescent="0.25">
      <c r="Z357" s="35"/>
      <c r="AA357" s="30"/>
      <c r="AB357" s="31"/>
    </row>
    <row r="358" spans="26:28" ht="18.75" customHeight="1" x14ac:dyDescent="0.25">
      <c r="Z358" s="35"/>
      <c r="AA358" s="30"/>
      <c r="AB358" s="31"/>
    </row>
    <row r="359" spans="26:28" ht="18.75" customHeight="1" x14ac:dyDescent="0.25">
      <c r="Z359" s="35"/>
      <c r="AA359" s="30"/>
      <c r="AB359" s="31"/>
    </row>
    <row r="360" spans="26:28" ht="18.75" customHeight="1" x14ac:dyDescent="0.25">
      <c r="Z360" s="35"/>
      <c r="AA360" s="30"/>
      <c r="AB360" s="31"/>
    </row>
    <row r="361" spans="26:28" ht="18.75" customHeight="1" x14ac:dyDescent="0.25">
      <c r="Z361" s="35"/>
      <c r="AA361" s="30"/>
      <c r="AB361" s="31"/>
    </row>
    <row r="362" spans="26:28" ht="18.75" customHeight="1" x14ac:dyDescent="0.25">
      <c r="Z362" s="35"/>
      <c r="AA362" s="30"/>
      <c r="AB362" s="31"/>
    </row>
    <row r="363" spans="26:28" ht="18.75" customHeight="1" x14ac:dyDescent="0.25">
      <c r="Z363" s="35"/>
      <c r="AA363" s="30"/>
      <c r="AB363" s="31"/>
    </row>
    <row r="364" spans="26:28" ht="18.75" customHeight="1" x14ac:dyDescent="0.25">
      <c r="Z364" s="35"/>
      <c r="AA364" s="30"/>
      <c r="AB364" s="31"/>
    </row>
    <row r="365" spans="26:28" ht="18.75" customHeight="1" x14ac:dyDescent="0.25">
      <c r="Z365" s="35"/>
      <c r="AA365" s="30"/>
      <c r="AB365" s="31"/>
    </row>
    <row r="366" spans="26:28" ht="18.75" customHeight="1" x14ac:dyDescent="0.25">
      <c r="Z366" s="35"/>
      <c r="AA366" s="30"/>
      <c r="AB366" s="31"/>
    </row>
    <row r="367" spans="26:28" ht="18.75" customHeight="1" x14ac:dyDescent="0.25">
      <c r="Z367" s="35"/>
      <c r="AA367" s="30"/>
      <c r="AB367" s="31"/>
    </row>
    <row r="368" spans="26:28" ht="18.75" customHeight="1" x14ac:dyDescent="0.25">
      <c r="Z368" s="35"/>
      <c r="AA368" s="30"/>
      <c r="AB368" s="31"/>
    </row>
    <row r="369" spans="26:28" ht="18.75" customHeight="1" x14ac:dyDescent="0.25">
      <c r="Z369" s="35"/>
      <c r="AA369" s="30"/>
      <c r="AB369" s="31"/>
    </row>
    <row r="370" spans="26:28" ht="18.75" customHeight="1" x14ac:dyDescent="0.25">
      <c r="Z370" s="35"/>
      <c r="AA370" s="30"/>
      <c r="AB370" s="31"/>
    </row>
    <row r="371" spans="26:28" ht="18.75" customHeight="1" x14ac:dyDescent="0.25">
      <c r="Z371" s="35"/>
      <c r="AA371" s="30"/>
      <c r="AB371" s="31"/>
    </row>
    <row r="372" spans="26:28" ht="18.75" customHeight="1" x14ac:dyDescent="0.25">
      <c r="Z372" s="35"/>
      <c r="AA372" s="30"/>
      <c r="AB372" s="31"/>
    </row>
    <row r="373" spans="26:28" ht="18.75" customHeight="1" x14ac:dyDescent="0.25">
      <c r="Z373" s="35"/>
      <c r="AA373" s="30"/>
      <c r="AB373" s="31"/>
    </row>
    <row r="374" spans="26:28" ht="18.75" customHeight="1" x14ac:dyDescent="0.25">
      <c r="Z374" s="35"/>
      <c r="AA374" s="30"/>
      <c r="AB374" s="31"/>
    </row>
    <row r="375" spans="26:28" ht="18.75" customHeight="1" x14ac:dyDescent="0.25">
      <c r="Z375" s="35"/>
      <c r="AA375" s="30"/>
      <c r="AB375" s="31"/>
    </row>
    <row r="376" spans="26:28" ht="18.75" customHeight="1" x14ac:dyDescent="0.25">
      <c r="Z376" s="35"/>
      <c r="AA376" s="30"/>
      <c r="AB376" s="31"/>
    </row>
    <row r="377" spans="26:28" ht="18.75" customHeight="1" x14ac:dyDescent="0.25">
      <c r="Z377" s="35"/>
      <c r="AA377" s="30"/>
      <c r="AB377" s="31"/>
    </row>
    <row r="378" spans="26:28" ht="18.75" customHeight="1" x14ac:dyDescent="0.25">
      <c r="Z378" s="35"/>
      <c r="AA378" s="30"/>
      <c r="AB378" s="31"/>
    </row>
    <row r="379" spans="26:28" ht="18.75" customHeight="1" x14ac:dyDescent="0.25">
      <c r="Z379" s="35"/>
      <c r="AA379" s="30"/>
      <c r="AB379" s="31"/>
    </row>
    <row r="380" spans="26:28" ht="18.75" customHeight="1" x14ac:dyDescent="0.25">
      <c r="Z380" s="35"/>
      <c r="AA380" s="30"/>
      <c r="AB380" s="31"/>
    </row>
    <row r="381" spans="26:28" ht="18.75" customHeight="1" x14ac:dyDescent="0.25">
      <c r="Z381" s="35"/>
      <c r="AA381" s="30"/>
      <c r="AB381" s="31"/>
    </row>
    <row r="382" spans="26:28" ht="18.75" customHeight="1" x14ac:dyDescent="0.25">
      <c r="Z382" s="35"/>
      <c r="AA382" s="30"/>
      <c r="AB382" s="31"/>
    </row>
    <row r="383" spans="26:28" ht="18.75" customHeight="1" x14ac:dyDescent="0.25">
      <c r="Z383" s="35"/>
      <c r="AA383" s="30"/>
      <c r="AB383" s="31"/>
    </row>
    <row r="384" spans="26:28" ht="18.75" customHeight="1" x14ac:dyDescent="0.25">
      <c r="Z384" s="35"/>
      <c r="AA384" s="30"/>
      <c r="AB384" s="31"/>
    </row>
    <row r="385" spans="26:28" ht="18.75" customHeight="1" x14ac:dyDescent="0.25">
      <c r="Z385" s="35"/>
      <c r="AA385" s="30"/>
      <c r="AB385" s="31"/>
    </row>
    <row r="386" spans="26:28" ht="18.75" customHeight="1" x14ac:dyDescent="0.25">
      <c r="Z386" s="35"/>
      <c r="AA386" s="30"/>
      <c r="AB386" s="31"/>
    </row>
    <row r="387" spans="26:28" ht="18.75" customHeight="1" x14ac:dyDescent="0.25">
      <c r="Z387" s="35"/>
      <c r="AA387" s="30"/>
      <c r="AB387" s="31"/>
    </row>
    <row r="388" spans="26:28" ht="18.75" customHeight="1" x14ac:dyDescent="0.25">
      <c r="Z388" s="35"/>
      <c r="AA388" s="30"/>
      <c r="AB388" s="31"/>
    </row>
    <row r="389" spans="26:28" ht="18.75" customHeight="1" x14ac:dyDescent="0.25">
      <c r="Z389" s="35"/>
      <c r="AA389" s="30"/>
      <c r="AB389" s="31"/>
    </row>
    <row r="390" spans="26:28" ht="18.75" customHeight="1" x14ac:dyDescent="0.25">
      <c r="Z390" s="35"/>
      <c r="AA390" s="30"/>
      <c r="AB390" s="31"/>
    </row>
    <row r="391" spans="26:28" ht="18.75" customHeight="1" x14ac:dyDescent="0.25">
      <c r="Z391" s="35"/>
      <c r="AA391" s="30"/>
      <c r="AB391" s="31"/>
    </row>
    <row r="392" spans="26:28" ht="18.75" customHeight="1" x14ac:dyDescent="0.25">
      <c r="Z392" s="35"/>
      <c r="AA392" s="30"/>
      <c r="AB392" s="31"/>
    </row>
    <row r="393" spans="26:28" ht="18.75" customHeight="1" x14ac:dyDescent="0.25">
      <c r="Z393" s="35"/>
      <c r="AA393" s="30"/>
      <c r="AB393" s="31"/>
    </row>
    <row r="394" spans="26:28" ht="18.75" customHeight="1" x14ac:dyDescent="0.25">
      <c r="Z394" s="35"/>
      <c r="AA394" s="30"/>
      <c r="AB394" s="31"/>
    </row>
    <row r="395" spans="26:28" ht="18.75" customHeight="1" x14ac:dyDescent="0.25">
      <c r="Z395" s="35"/>
      <c r="AA395" s="30"/>
      <c r="AB395" s="31"/>
    </row>
    <row r="396" spans="26:28" ht="18.75" customHeight="1" x14ac:dyDescent="0.25">
      <c r="Z396" s="35"/>
      <c r="AA396" s="30"/>
      <c r="AB396" s="31"/>
    </row>
    <row r="397" spans="26:28" ht="18.75" customHeight="1" x14ac:dyDescent="0.25">
      <c r="Z397" s="35"/>
      <c r="AA397" s="30"/>
      <c r="AB397" s="31"/>
    </row>
    <row r="398" spans="26:28" ht="18.75" customHeight="1" x14ac:dyDescent="0.25">
      <c r="Z398" s="35"/>
      <c r="AA398" s="30"/>
      <c r="AB398" s="31"/>
    </row>
    <row r="399" spans="26:28" ht="18.75" customHeight="1" x14ac:dyDescent="0.25">
      <c r="Z399" s="35"/>
      <c r="AA399" s="30"/>
      <c r="AB399" s="31"/>
    </row>
    <row r="400" spans="26:28" ht="18.75" customHeight="1" x14ac:dyDescent="0.25">
      <c r="Z400" s="35"/>
      <c r="AA400" s="30"/>
      <c r="AB400" s="31"/>
    </row>
    <row r="401" spans="26:28" ht="18.75" customHeight="1" x14ac:dyDescent="0.25">
      <c r="Z401" s="35"/>
      <c r="AA401" s="30"/>
      <c r="AB401" s="31"/>
    </row>
    <row r="402" spans="26:28" ht="18.75" customHeight="1" x14ac:dyDescent="0.25">
      <c r="Z402" s="35"/>
      <c r="AA402" s="30"/>
      <c r="AB402" s="31"/>
    </row>
    <row r="403" spans="26:28" ht="18.75" customHeight="1" x14ac:dyDescent="0.25">
      <c r="Z403" s="35"/>
      <c r="AA403" s="30"/>
      <c r="AB403" s="31"/>
    </row>
    <row r="404" spans="26:28" ht="18.75" customHeight="1" x14ac:dyDescent="0.25">
      <c r="Z404" s="35"/>
      <c r="AA404" s="30"/>
      <c r="AB404" s="31"/>
    </row>
    <row r="405" spans="26:28" ht="18.75" customHeight="1" x14ac:dyDescent="0.25">
      <c r="Z405" s="35"/>
      <c r="AA405" s="30"/>
      <c r="AB405" s="31"/>
    </row>
    <row r="406" spans="26:28" ht="18.75" customHeight="1" x14ac:dyDescent="0.25">
      <c r="Z406" s="35"/>
      <c r="AA406" s="30"/>
      <c r="AB406" s="31"/>
    </row>
    <row r="407" spans="26:28" ht="18.75" customHeight="1" x14ac:dyDescent="0.25">
      <c r="Z407" s="35"/>
      <c r="AA407" s="30"/>
      <c r="AB407" s="31"/>
    </row>
    <row r="408" spans="26:28" ht="18.75" customHeight="1" x14ac:dyDescent="0.25">
      <c r="Z408" s="35"/>
      <c r="AA408" s="30"/>
      <c r="AB408" s="31"/>
    </row>
    <row r="409" spans="26:28" ht="18.75" customHeight="1" x14ac:dyDescent="0.25">
      <c r="Z409" s="35"/>
      <c r="AA409" s="30"/>
      <c r="AB409" s="31"/>
    </row>
    <row r="410" spans="26:28" ht="18.75" customHeight="1" x14ac:dyDescent="0.25">
      <c r="Z410" s="35"/>
      <c r="AA410" s="30"/>
      <c r="AB410" s="31"/>
    </row>
    <row r="411" spans="26:28" ht="18.75" customHeight="1" x14ac:dyDescent="0.25">
      <c r="Z411" s="35"/>
      <c r="AA411" s="30"/>
      <c r="AB411" s="31"/>
    </row>
    <row r="412" spans="26:28" ht="18.75" customHeight="1" x14ac:dyDescent="0.25">
      <c r="Z412" s="35"/>
      <c r="AA412" s="30"/>
      <c r="AB412" s="31"/>
    </row>
    <row r="413" spans="26:28" ht="18.75" customHeight="1" x14ac:dyDescent="0.25">
      <c r="Z413" s="35"/>
      <c r="AA413" s="30"/>
      <c r="AB413" s="31"/>
    </row>
    <row r="414" spans="26:28" ht="18.75" customHeight="1" x14ac:dyDescent="0.25">
      <c r="Z414" s="35"/>
      <c r="AA414" s="30"/>
      <c r="AB414" s="31"/>
    </row>
    <row r="415" spans="26:28" ht="18.75" customHeight="1" x14ac:dyDescent="0.25">
      <c r="Z415" s="35"/>
      <c r="AA415" s="30"/>
      <c r="AB415" s="31"/>
    </row>
    <row r="416" spans="26:28" ht="18.75" customHeight="1" x14ac:dyDescent="0.25">
      <c r="Z416" s="35"/>
      <c r="AA416" s="30"/>
      <c r="AB416" s="31"/>
    </row>
    <row r="417" spans="26:28" ht="18.75" customHeight="1" x14ac:dyDescent="0.25">
      <c r="Z417" s="35"/>
      <c r="AA417" s="30"/>
      <c r="AB417" s="31"/>
    </row>
    <row r="418" spans="26:28" ht="18.75" customHeight="1" x14ac:dyDescent="0.25">
      <c r="Z418" s="35"/>
      <c r="AA418" s="30"/>
      <c r="AB418" s="31"/>
    </row>
    <row r="419" spans="26:28" ht="18.75" customHeight="1" x14ac:dyDescent="0.25">
      <c r="Z419" s="35"/>
      <c r="AA419" s="30"/>
      <c r="AB419" s="31"/>
    </row>
    <row r="420" spans="26:28" ht="18.75" customHeight="1" x14ac:dyDescent="0.25">
      <c r="Z420" s="35"/>
      <c r="AA420" s="30"/>
      <c r="AB420" s="31"/>
    </row>
    <row r="421" spans="26:28" ht="18.75" customHeight="1" x14ac:dyDescent="0.25">
      <c r="Z421" s="35"/>
      <c r="AA421" s="30"/>
      <c r="AB421" s="31"/>
    </row>
    <row r="422" spans="26:28" ht="18.75" customHeight="1" x14ac:dyDescent="0.25">
      <c r="Z422" s="35"/>
      <c r="AA422" s="30"/>
      <c r="AB422" s="31"/>
    </row>
    <row r="423" spans="26:28" ht="18.75" customHeight="1" x14ac:dyDescent="0.25">
      <c r="Z423" s="35"/>
      <c r="AA423" s="30"/>
      <c r="AB423" s="31"/>
    </row>
    <row r="424" spans="26:28" ht="18.75" customHeight="1" x14ac:dyDescent="0.25">
      <c r="Z424" s="35"/>
      <c r="AA424" s="30"/>
      <c r="AB424" s="31"/>
    </row>
    <row r="425" spans="26:28" ht="18.75" customHeight="1" x14ac:dyDescent="0.25">
      <c r="Z425" s="35"/>
      <c r="AA425" s="30"/>
      <c r="AB425" s="31"/>
    </row>
    <row r="426" spans="26:28" ht="18.75" customHeight="1" x14ac:dyDescent="0.25">
      <c r="Z426" s="35"/>
      <c r="AA426" s="30"/>
      <c r="AB426" s="31"/>
    </row>
    <row r="427" spans="26:28" ht="18.75" customHeight="1" x14ac:dyDescent="0.25">
      <c r="Z427" s="35"/>
      <c r="AA427" s="30"/>
      <c r="AB427" s="31"/>
    </row>
    <row r="428" spans="26:28" ht="18.75" customHeight="1" x14ac:dyDescent="0.25">
      <c r="Z428" s="35"/>
      <c r="AA428" s="30"/>
      <c r="AB428" s="31"/>
    </row>
    <row r="429" spans="26:28" ht="18.75" customHeight="1" x14ac:dyDescent="0.25">
      <c r="Z429" s="35"/>
      <c r="AA429" s="30"/>
      <c r="AB429" s="31"/>
    </row>
    <row r="430" spans="26:28" ht="18.75" customHeight="1" x14ac:dyDescent="0.25">
      <c r="Z430" s="35"/>
      <c r="AA430" s="30"/>
      <c r="AB430" s="31"/>
    </row>
    <row r="431" spans="26:28" ht="18.75" customHeight="1" x14ac:dyDescent="0.25">
      <c r="Z431" s="35"/>
      <c r="AA431" s="30"/>
      <c r="AB431" s="31"/>
    </row>
    <row r="432" spans="26:28" ht="18.75" customHeight="1" x14ac:dyDescent="0.25">
      <c r="Z432" s="35"/>
      <c r="AA432" s="30"/>
      <c r="AB432" s="31"/>
    </row>
    <row r="433" spans="26:28" ht="18.75" customHeight="1" x14ac:dyDescent="0.25">
      <c r="Z433" s="35"/>
      <c r="AA433" s="30"/>
      <c r="AB433" s="31"/>
    </row>
    <row r="434" spans="26:28" ht="18.75" customHeight="1" x14ac:dyDescent="0.25">
      <c r="Z434" s="35"/>
      <c r="AA434" s="30"/>
      <c r="AB434" s="31"/>
    </row>
    <row r="435" spans="26:28" ht="18.75" customHeight="1" x14ac:dyDescent="0.25">
      <c r="Z435" s="35"/>
      <c r="AA435" s="30"/>
      <c r="AB435" s="31"/>
    </row>
    <row r="436" spans="26:28" ht="18.75" customHeight="1" x14ac:dyDescent="0.25">
      <c r="Z436" s="35"/>
      <c r="AA436" s="30"/>
      <c r="AB436" s="31"/>
    </row>
    <row r="437" spans="26:28" ht="18.75" customHeight="1" x14ac:dyDescent="0.25">
      <c r="Z437" s="35"/>
      <c r="AA437" s="30"/>
      <c r="AB437" s="31"/>
    </row>
    <row r="438" spans="26:28" ht="18.75" customHeight="1" x14ac:dyDescent="0.25">
      <c r="Z438" s="35"/>
      <c r="AA438" s="30"/>
      <c r="AB438" s="31"/>
    </row>
    <row r="439" spans="26:28" ht="18.75" customHeight="1" x14ac:dyDescent="0.25">
      <c r="Z439" s="35"/>
      <c r="AA439" s="30"/>
      <c r="AB439" s="31"/>
    </row>
    <row r="440" spans="26:28" ht="18.75" customHeight="1" x14ac:dyDescent="0.25">
      <c r="Z440" s="35"/>
      <c r="AA440" s="30"/>
      <c r="AB440" s="31"/>
    </row>
    <row r="441" spans="26:28" ht="18.75" customHeight="1" x14ac:dyDescent="0.25">
      <c r="Z441" s="35"/>
      <c r="AA441" s="30"/>
      <c r="AB441" s="31"/>
    </row>
    <row r="442" spans="26:28" ht="18.75" customHeight="1" x14ac:dyDescent="0.25">
      <c r="Z442" s="35"/>
      <c r="AA442" s="30"/>
      <c r="AB442" s="31"/>
    </row>
    <row r="443" spans="26:28" ht="18.75" customHeight="1" x14ac:dyDescent="0.25">
      <c r="Z443" s="35"/>
      <c r="AA443" s="30"/>
      <c r="AB443" s="31"/>
    </row>
    <row r="444" spans="26:28" ht="18.75" customHeight="1" x14ac:dyDescent="0.25">
      <c r="Z444" s="35"/>
      <c r="AA444" s="30"/>
      <c r="AB444" s="31"/>
    </row>
    <row r="445" spans="26:28" ht="18.75" customHeight="1" x14ac:dyDescent="0.25">
      <c r="Z445" s="35"/>
      <c r="AA445" s="30"/>
      <c r="AB445" s="31"/>
    </row>
    <row r="446" spans="26:28" ht="18.75" customHeight="1" x14ac:dyDescent="0.25">
      <c r="Z446" s="35"/>
      <c r="AA446" s="30"/>
      <c r="AB446" s="31"/>
    </row>
    <row r="447" spans="26:28" ht="18.75" customHeight="1" x14ac:dyDescent="0.25">
      <c r="Z447" s="35"/>
      <c r="AA447" s="30"/>
      <c r="AB447" s="31"/>
    </row>
    <row r="448" spans="26:28" ht="18.75" customHeight="1" x14ac:dyDescent="0.25">
      <c r="Z448" s="35"/>
      <c r="AA448" s="30"/>
      <c r="AB448" s="31"/>
    </row>
    <row r="449" spans="26:28" ht="18.75" customHeight="1" x14ac:dyDescent="0.25">
      <c r="Z449" s="35"/>
      <c r="AA449" s="30"/>
      <c r="AB449" s="31"/>
    </row>
    <row r="450" spans="26:28" ht="18.75" customHeight="1" x14ac:dyDescent="0.25">
      <c r="Z450" s="35"/>
      <c r="AA450" s="30"/>
      <c r="AB450" s="31"/>
    </row>
    <row r="451" spans="26:28" ht="18.75" customHeight="1" x14ac:dyDescent="0.25">
      <c r="Z451" s="35"/>
      <c r="AA451" s="30"/>
      <c r="AB451" s="31"/>
    </row>
    <row r="452" spans="26:28" ht="18.75" customHeight="1" x14ac:dyDescent="0.25">
      <c r="Z452" s="35"/>
      <c r="AA452" s="30"/>
      <c r="AB452" s="31"/>
    </row>
    <row r="453" spans="26:28" ht="18.75" customHeight="1" x14ac:dyDescent="0.25">
      <c r="Z453" s="35"/>
      <c r="AA453" s="30"/>
      <c r="AB453" s="31"/>
    </row>
    <row r="454" spans="26:28" ht="18.75" customHeight="1" x14ac:dyDescent="0.25">
      <c r="Z454" s="35"/>
      <c r="AA454" s="30"/>
      <c r="AB454" s="31"/>
    </row>
    <row r="455" spans="26:28" ht="18.75" customHeight="1" x14ac:dyDescent="0.25">
      <c r="Z455" s="35"/>
      <c r="AA455" s="30"/>
      <c r="AB455" s="31"/>
    </row>
    <row r="456" spans="26:28" ht="18.75" customHeight="1" x14ac:dyDescent="0.25">
      <c r="Z456" s="35"/>
      <c r="AA456" s="30"/>
      <c r="AB456" s="31"/>
    </row>
    <row r="457" spans="26:28" ht="18.75" customHeight="1" x14ac:dyDescent="0.25">
      <c r="Z457" s="35"/>
      <c r="AA457" s="30"/>
      <c r="AB457" s="31"/>
    </row>
    <row r="458" spans="26:28" ht="18.75" customHeight="1" x14ac:dyDescent="0.25">
      <c r="Z458" s="35"/>
      <c r="AA458" s="30"/>
      <c r="AB458" s="31"/>
    </row>
    <row r="459" spans="26:28" ht="18.75" customHeight="1" x14ac:dyDescent="0.25">
      <c r="Z459" s="35"/>
      <c r="AA459" s="30"/>
      <c r="AB459" s="31"/>
    </row>
    <row r="460" spans="26:28" ht="18.75" customHeight="1" x14ac:dyDescent="0.25">
      <c r="Z460" s="35"/>
      <c r="AA460" s="30"/>
      <c r="AB460" s="31"/>
    </row>
    <row r="461" spans="26:28" ht="18.75" customHeight="1" x14ac:dyDescent="0.25">
      <c r="Z461" s="35"/>
      <c r="AA461" s="30"/>
      <c r="AB461" s="31"/>
    </row>
    <row r="462" spans="26:28" ht="18.75" customHeight="1" x14ac:dyDescent="0.25">
      <c r="Z462" s="35"/>
      <c r="AA462" s="30"/>
      <c r="AB462" s="31"/>
    </row>
    <row r="463" spans="26:28" ht="18.75" customHeight="1" x14ac:dyDescent="0.25">
      <c r="Z463" s="35"/>
      <c r="AA463" s="30"/>
      <c r="AB463" s="31"/>
    </row>
    <row r="464" spans="26:28" ht="18.75" customHeight="1" x14ac:dyDescent="0.25">
      <c r="Z464" s="35"/>
      <c r="AA464" s="30"/>
      <c r="AB464" s="31"/>
    </row>
    <row r="465" spans="26:28" ht="18.75" customHeight="1" x14ac:dyDescent="0.25">
      <c r="Z465" s="35"/>
      <c r="AA465" s="30"/>
      <c r="AB465" s="31"/>
    </row>
    <row r="466" spans="26:28" ht="18.75" customHeight="1" x14ac:dyDescent="0.25">
      <c r="Z466" s="35"/>
      <c r="AA466" s="30"/>
      <c r="AB466" s="31"/>
    </row>
    <row r="467" spans="26:28" ht="18.75" customHeight="1" x14ac:dyDescent="0.25">
      <c r="Z467" s="35"/>
      <c r="AA467" s="30"/>
      <c r="AB467" s="31"/>
    </row>
    <row r="468" spans="26:28" ht="18.75" customHeight="1" x14ac:dyDescent="0.25">
      <c r="Z468" s="35"/>
      <c r="AA468" s="30"/>
      <c r="AB468" s="31"/>
    </row>
    <row r="469" spans="26:28" ht="18.75" customHeight="1" x14ac:dyDescent="0.25">
      <c r="Z469" s="35"/>
      <c r="AA469" s="30"/>
      <c r="AB469" s="31"/>
    </row>
    <row r="470" spans="26:28" ht="18.75" customHeight="1" x14ac:dyDescent="0.25">
      <c r="Z470" s="35"/>
      <c r="AA470" s="30"/>
      <c r="AB470" s="31"/>
    </row>
    <row r="471" spans="26:28" ht="18.75" customHeight="1" x14ac:dyDescent="0.25">
      <c r="Z471" s="35"/>
      <c r="AA471" s="30"/>
      <c r="AB471" s="31"/>
    </row>
    <row r="472" spans="26:28" ht="18.75" customHeight="1" x14ac:dyDescent="0.25">
      <c r="Z472" s="35"/>
      <c r="AA472" s="30"/>
      <c r="AB472" s="31"/>
    </row>
    <row r="473" spans="26:28" ht="18.75" customHeight="1" x14ac:dyDescent="0.25">
      <c r="Z473" s="35"/>
      <c r="AA473" s="30"/>
      <c r="AB473" s="31"/>
    </row>
    <row r="474" spans="26:28" ht="18.75" customHeight="1" x14ac:dyDescent="0.25">
      <c r="Z474" s="35"/>
      <c r="AA474" s="30"/>
      <c r="AB474" s="31"/>
    </row>
    <row r="475" spans="26:28" ht="18.75" customHeight="1" x14ac:dyDescent="0.25">
      <c r="Z475" s="35"/>
      <c r="AA475" s="30"/>
      <c r="AB475" s="31"/>
    </row>
    <row r="476" spans="26:28" ht="18.75" customHeight="1" x14ac:dyDescent="0.25">
      <c r="Z476" s="35"/>
      <c r="AA476" s="30"/>
      <c r="AB476" s="31"/>
    </row>
    <row r="477" spans="26:28" ht="18.75" customHeight="1" x14ac:dyDescent="0.25">
      <c r="Z477" s="35"/>
      <c r="AA477" s="30"/>
      <c r="AB477" s="31"/>
    </row>
    <row r="478" spans="26:28" ht="18.75" customHeight="1" x14ac:dyDescent="0.25">
      <c r="Z478" s="35"/>
      <c r="AA478" s="30"/>
      <c r="AB478" s="31"/>
    </row>
    <row r="479" spans="26:28" ht="18.75" customHeight="1" x14ac:dyDescent="0.25">
      <c r="Z479" s="35"/>
      <c r="AA479" s="30"/>
      <c r="AB479" s="31"/>
    </row>
    <row r="480" spans="26:28" ht="18.75" customHeight="1" x14ac:dyDescent="0.25">
      <c r="Z480" s="35"/>
      <c r="AA480" s="30"/>
      <c r="AB480" s="31"/>
    </row>
    <row r="481" spans="26:28" ht="18.75" customHeight="1" x14ac:dyDescent="0.25">
      <c r="Z481" s="35"/>
      <c r="AA481" s="30"/>
      <c r="AB481" s="31"/>
    </row>
    <row r="482" spans="26:28" ht="18.75" customHeight="1" x14ac:dyDescent="0.25">
      <c r="Z482" s="35"/>
      <c r="AA482" s="30"/>
      <c r="AB482" s="31"/>
    </row>
    <row r="483" spans="26:28" ht="18.75" customHeight="1" x14ac:dyDescent="0.25">
      <c r="Z483" s="35"/>
      <c r="AA483" s="30"/>
      <c r="AB483" s="31"/>
    </row>
    <row r="484" spans="26:28" ht="18.75" customHeight="1" x14ac:dyDescent="0.25">
      <c r="Z484" s="35"/>
      <c r="AA484" s="30"/>
      <c r="AB484" s="31"/>
    </row>
    <row r="485" spans="26:28" ht="18.75" customHeight="1" x14ac:dyDescent="0.25">
      <c r="Z485" s="35"/>
      <c r="AA485" s="30"/>
      <c r="AB485" s="31"/>
    </row>
    <row r="486" spans="26:28" ht="18.75" customHeight="1" x14ac:dyDescent="0.25">
      <c r="Z486" s="35"/>
      <c r="AA486" s="30"/>
      <c r="AB486" s="31"/>
    </row>
  </sheetData>
  <sheetProtection algorithmName="SHA-512" hashValue="wW9bkWZoX9JANZ/NYzWfaPAlKryTFZ/RgTjqQsz4NHL9gZPyLad2dqxoIEVhtsUJ1xl+QcXSaTB5QddZS25vNg==" saltValue="iPtVh3GbS8+OyWy5RLL5Zw==" spinCount="100000" sheet="1" objects="1" scenarios="1" selectLockedCells="1" selectUnlockedCells="1"/>
  <mergeCells count="10">
    <mergeCell ref="K3:AA5"/>
    <mergeCell ref="H4:H5"/>
    <mergeCell ref="I4:I5"/>
    <mergeCell ref="A3:A5"/>
    <mergeCell ref="B3:B5"/>
    <mergeCell ref="C3:C5"/>
    <mergeCell ref="D3:F3"/>
    <mergeCell ref="G3:H3"/>
    <mergeCell ref="D4:F4"/>
    <mergeCell ref="G4:G5"/>
  </mergeCells>
  <pageMargins left="0.59055118110236227" right="0.39370078740157483" top="0.59055118110236227" bottom="0.59055118110236227" header="0.31496062992125984" footer="0.31496062992125984"/>
  <pageSetup paperSize="8"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6</vt:i4>
      </vt:variant>
    </vt:vector>
  </HeadingPairs>
  <TitlesOfParts>
    <vt:vector size="11" baseType="lpstr">
      <vt:lpstr>Pajamos 2025-2027</vt:lpstr>
      <vt:lpstr>2025-2027 asignavimai iš viso</vt:lpstr>
      <vt:lpstr>31 pr.2025</vt:lpstr>
      <vt:lpstr>32 pr.2025</vt:lpstr>
      <vt:lpstr>33 pr.2025</vt:lpstr>
      <vt:lpstr>'31 pr.2025'!Print_Area</vt:lpstr>
      <vt:lpstr>'32 pr.2025'!Print_Area</vt:lpstr>
      <vt:lpstr>'33 pr.2025'!Print_Area</vt:lpstr>
      <vt:lpstr>'31 pr.2025'!Print_Titles</vt:lpstr>
      <vt:lpstr>'32 pr.2025'!Print_Titles</vt:lpstr>
      <vt:lpstr>'33 pr.2025'!Print_Titles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Vaikšnoras</dc:creator>
  <cp:lastModifiedBy>Mindaugas Vaikšnoras</cp:lastModifiedBy>
  <cp:lastPrinted>2025-01-07T09:41:31Z</cp:lastPrinted>
  <dcterms:created xsi:type="dcterms:W3CDTF">2015-06-05T18:19:34Z</dcterms:created>
  <dcterms:modified xsi:type="dcterms:W3CDTF">2025-01-07T09:47:55Z</dcterms:modified>
</cp:coreProperties>
</file>